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1827-1862" sheetId="1" r:id="rId1"/>
    <sheet name="1863-1882" sheetId="2" r:id="rId2"/>
    <sheet name="1883-1917" sheetId="3" r:id="rId3"/>
  </sheets>
  <definedNames/>
  <calcPr fullCalcOnLoad="1"/>
</workbook>
</file>

<file path=xl/comments1.xml><?xml version="1.0" encoding="utf-8"?>
<comments xmlns="http://schemas.openxmlformats.org/spreadsheetml/2006/main">
  <authors>
    <author>B44K</author>
  </authors>
  <commentList>
    <comment ref="AG11" authorId="0">
      <text>
        <r>
          <rPr>
            <sz val="8"/>
            <rFont val="Tahoma"/>
            <family val="2"/>
          </rPr>
          <t>Общий тариф для империи и Царства Польского введен с 1.1.1851, поэтому торговля с Польшей показана отдельно до 1850 г. включительно.</t>
        </r>
      </text>
    </comment>
    <comment ref="AS33" authorId="0">
      <text>
        <r>
          <rPr>
            <sz val="8"/>
            <rFont val="Tahoma"/>
            <family val="2"/>
          </rPr>
          <t>Сумма по европейской границе почему-то расходится с показанной на 2 рубля; источник расхождения пока не выявлен.</t>
        </r>
      </text>
    </comment>
    <comment ref="AC11" authorId="0">
      <text>
        <r>
          <rPr>
            <sz val="8"/>
            <rFont val="Tahoma"/>
            <family val="2"/>
          </rPr>
          <t>До 1846 г. включительно - просто Вест-Индия</t>
        </r>
      </text>
    </comment>
    <comment ref="C30" authorId="0">
      <text>
        <r>
          <rPr>
            <sz val="8"/>
            <rFont val="Tahoma"/>
            <family val="2"/>
          </rPr>
          <t>В источнике в таблице XV на стр.72 опечатка (342.283). Правильная сумма – в таб.IX (стр.50).</t>
        </r>
      </text>
    </comment>
    <comment ref="J25" authorId="0">
      <text>
        <r>
          <rPr>
            <sz val="8"/>
            <rFont val="Tahoma"/>
            <family val="2"/>
          </rPr>
          <t>До 1840 г. включительно – вместе с Бельгией.</t>
        </r>
      </text>
    </comment>
    <comment ref="AE23" authorId="0">
      <text>
        <r>
          <rPr>
            <sz val="8"/>
            <rFont val="Tahoma"/>
            <family val="2"/>
          </rPr>
          <t>В источнике допущена опечатка (81.337.709) как в таблице XI (стр.51), так и в таб.VII (стр.37). Правильное число выявляется пересчетом суммирования.</t>
        </r>
      </text>
    </comment>
    <comment ref="AH11" authorId="0">
      <text>
        <r>
          <rPr>
            <sz val="8"/>
            <rFont val="Tahoma"/>
            <family val="2"/>
          </rPr>
          <t>Днестровская таможенная черта передвинулась на внешнюю границу Бессарабии в начале 1831 г., поэтому торговля с Бесарабией показана отдельно до 1830 г. включительно.</t>
        </r>
      </text>
    </comment>
    <comment ref="AG16" authorId="0">
      <text>
        <r>
          <rPr>
            <sz val="8"/>
            <rFont val="Tahoma"/>
            <family val="2"/>
          </rPr>
          <t>"Торговля с Царством Польским по причине бывшей войны прекратилась совершенно и начала возникать в самом уже исходе 1831 года; по малозначительности своей она не могла войти в соображение при составлении торгового баланса".</t>
        </r>
      </text>
    </comment>
    <comment ref="I11" authorId="0">
      <text>
        <r>
          <rPr>
            <sz val="8"/>
            <rFont val="Tahoma"/>
            <family val="2"/>
          </rPr>
          <t>Направление "в Зунд" (т.е. до пролива Зунд, а дальше неизвестно куда, в зависимости от будущих указаний) показан в направлениях экспорта в 1830–1857 гг.</t>
        </r>
      </text>
    </comment>
    <comment ref="AR31" authorId="0">
      <text>
        <r>
          <rPr>
            <sz val="8"/>
            <rFont val="Tahoma"/>
            <family val="2"/>
          </rPr>
          <t xml:space="preserve">Имеет место мелкая ошибка публикации, перешедшая в сборники начала XX в.
В таблицах III (Общий вид отвозной торговли) и XXI (Вид транзитной торговли) ясно показано, что иностранных товаров выменено в Кяхте на 308.306 р. Однако в таблице XVI (Обозрение главнейших российских товаров с показанием, в какие места оные были вывезены по азиатской торговле) пропущен транзит кораллов на 33.850, поэтому показан только транзит на 274.456 р. Это не имеет значения для общих цифр экспорта в Китай и общего, потому что в сборнике 1846 г. транзит был в них включен. Однако мы встречаем уже ошибочное распределение в сборнике 1909 г. о торговле с Китаем (см. таблицу о торговле с Китаем 1792-1850 на сайте проекта). 
</t>
        </r>
      </text>
    </comment>
  </commentList>
</comments>
</file>

<file path=xl/comments2.xml><?xml version="1.0" encoding="utf-8"?>
<comments xmlns="http://schemas.openxmlformats.org/spreadsheetml/2006/main">
  <authors>
    <author>B44K</author>
  </authors>
  <commentList>
    <comment ref="AF11" authorId="0">
      <text>
        <r>
          <rPr>
            <sz val="8"/>
            <rFont val="Tahoma"/>
            <family val="0"/>
          </rPr>
          <t xml:space="preserve">
Румыния c 1874</t>
        </r>
      </text>
    </comment>
    <comment ref="T25" authorId="0">
      <text>
        <r>
          <rPr>
            <sz val="8"/>
            <rFont val="Tahoma"/>
            <family val="2"/>
          </rPr>
          <t>В источнике 40.000 - ошибка выявляется суммированием</t>
        </r>
        <r>
          <rPr>
            <sz val="8"/>
            <rFont val="Tahoma"/>
            <family val="0"/>
          </rPr>
          <t xml:space="preserve">
</t>
        </r>
      </text>
    </comment>
    <comment ref="AG29" authorId="0">
      <text>
        <r>
          <rPr>
            <sz val="8"/>
            <rFont val="Tahoma"/>
            <family val="2"/>
          </rPr>
          <t>В Северную Америку</t>
        </r>
      </text>
    </comment>
    <comment ref="AG30" authorId="0">
      <text>
        <r>
          <rPr>
            <sz val="8"/>
            <rFont val="Tahoma"/>
            <family val="2"/>
          </rPr>
          <t>В Северную Америку</t>
        </r>
      </text>
    </comment>
    <comment ref="H31" authorId="0">
      <text>
        <r>
          <rPr>
            <sz val="8"/>
            <rFont val="Tahoma"/>
            <family val="2"/>
          </rPr>
          <t>В государства Германского таможенного союза</t>
        </r>
      </text>
    </comment>
    <comment ref="Z11" authorId="0">
      <text>
        <r>
          <rPr>
            <sz val="8"/>
            <rFont val="Tahoma"/>
            <family val="2"/>
          </rPr>
          <t>Австро-Венгрия с 1882</t>
        </r>
      </text>
    </comment>
    <comment ref="AU16" authorId="0">
      <text>
        <r>
          <rPr>
            <sz val="8"/>
            <rFont val="Tahoma"/>
            <family val="2"/>
          </rPr>
          <t>В связи, очевидно, с войной, начиная со сборника 1868 г. перестает показываться экспорт в Киргизскую степь, Ташкент, Хиву и Бухару, в том числе и за предыдущие годы, причем в таблице соотношения с прошлым годом Ташкента, Хивы и Бухары нет, а вывоз в Киргизскую степь показан нулевым (в явном противоречии со сборником 1867 г.). Таким образом, экспорт по азиатской границе за 1867 г. в сборнике 1868 г. определен лишь в 8.005.152 руб. То же число приводится в сборнике 1873 г. (введение, стр. III), а также приведены пересчитанные числа за 1863-1866 гг.</t>
        </r>
      </text>
    </comment>
    <comment ref="AQ11" authorId="0">
      <text>
        <r>
          <rPr>
            <sz val="8"/>
            <rFont val="Tahoma"/>
            <family val="2"/>
          </rPr>
          <t>Ташкент захвачен русскими войсками летом 1865 г., официально присоединен к России в 1866 (11.07.1867?), торговля с ним показана в сборнике 1867 г., а в сборнике 1868 г. этих цифр уже нет в сумме внешней торговли за тот же 1867 г.</t>
        </r>
      </text>
    </comment>
    <comment ref="AR11" authorId="0">
      <text>
        <r>
          <rPr>
            <sz val="8"/>
            <rFont val="Tahoma"/>
            <family val="2"/>
          </rPr>
          <t>Пункт "Прочие государства" по азиатской торговле отсутствует до 1881 г., но никакой другой торговли не регистрируется, потому что сумма экспорта по показанным государствам совпадает с общей суммой экспорта по азиатской границе.</t>
        </r>
      </text>
    </comment>
    <comment ref="AN11" authorId="0">
      <text>
        <r>
          <rPr>
            <sz val="8"/>
            <rFont val="Tahoma"/>
            <family val="2"/>
          </rPr>
          <t>Появляется с 1882 г.</t>
        </r>
      </text>
    </comment>
    <comment ref="E11" authorId="0">
      <text>
        <r>
          <rPr>
            <sz val="8"/>
            <rFont val="Tahoma"/>
            <family val="2"/>
          </rPr>
          <t>Показана отдельно до 1881 г. включительно. С 1882 г. объединяется с другими в "государства Германского таможенного союза", но "Ганзеатические города" проходят отдельно до 1885 г. включительно.</t>
        </r>
      </text>
    </comment>
    <comment ref="AK22" authorId="0">
      <text>
        <r>
          <rPr>
            <sz val="8"/>
            <rFont val="Tahoma"/>
            <family val="2"/>
          </rPr>
          <t>В источнике 8.824.306. Считаем ошибкой это число и все его перепечатки и учеты в суммах (см. таблицу о структуре экспорта, лист "Финляндия").</t>
        </r>
      </text>
    </comment>
    <comment ref="AV22" authorId="0">
      <text>
        <r>
          <rPr>
            <sz val="8"/>
            <rFont val="Tahoma"/>
            <family val="2"/>
          </rPr>
          <t>В источнике (с.III) 364.439.921. Считаем ошибкой это число и все его перепечатки (см. "Финляндия").</t>
        </r>
      </text>
    </comment>
  </commentList>
</comments>
</file>

<file path=xl/comments3.xml><?xml version="1.0" encoding="utf-8"?>
<comments xmlns="http://schemas.openxmlformats.org/spreadsheetml/2006/main">
  <authors>
    <author>B44K</author>
  </authors>
  <commentList>
    <comment ref="BQ18" authorId="0">
      <text>
        <r>
          <rPr>
            <sz val="8"/>
            <rFont val="Tahoma"/>
            <family val="2"/>
          </rPr>
          <t>В 1888–1889
складывается из двух категорий: вывоз в
Среднеазиатские ханства по Астраханской таможне и общий вывоз по Туркестанской границе</t>
        </r>
      </text>
    </comment>
    <comment ref="BN19" authorId="0">
      <text>
        <r>
          <rPr>
            <sz val="8"/>
            <rFont val="Tahoma"/>
            <family val="2"/>
          </rPr>
          <t xml:space="preserve">"В т.ч. также и пшеница, предназначенная для Южной Америки сверх количества, объявленного для отпуска в Бразилию" – </t>
        </r>
        <r>
          <rPr>
            <i/>
            <sz val="8"/>
            <rFont val="Tahoma"/>
            <family val="2"/>
          </rPr>
          <t>Прим. источника.</t>
        </r>
      </text>
    </comment>
    <comment ref="BQ19" authorId="0">
      <text>
        <r>
          <rPr>
            <sz val="8"/>
            <rFont val="Tahoma"/>
            <family val="2"/>
          </rPr>
          <t>В 1888–1889
складывается из двух категорий: вывоз в
Среднеазиатские ханства по Астраханской таможне и общий вывоз по Туркестанской границе</t>
        </r>
      </text>
    </comment>
    <comment ref="BQ14" authorId="0">
      <text>
        <r>
          <rPr>
            <sz val="8"/>
            <rFont val="Tahoma"/>
            <family val="2"/>
          </rPr>
          <t>В приложении В ко введению здесь общий вывоз по Туркестанской границе ("В среднеазиатские ханства и проч."). Но в таблице II все это записано просто "В среднеазиатские ханства".
То же – в 1885 г.</t>
        </r>
      </text>
    </comment>
    <comment ref="BC21" authorId="0">
      <text>
        <r>
          <rPr>
            <sz val="8"/>
            <rFont val="Tahoma"/>
            <family val="2"/>
          </rPr>
          <t>В этом числе 34.724р. по Узун-Адинской таможне обозначены как "С Персиею, Среднеазиатскими ханствами и проч."</t>
        </r>
      </text>
    </comment>
    <comment ref="BQ21" authorId="0">
      <text>
        <r>
          <rPr>
            <sz val="8"/>
            <rFont val="Tahoma"/>
            <family val="2"/>
          </rPr>
          <t>Сюда не включены 34.724р. по Узун-Адинской таможне, обозначенные как "С Персиею, Среднеазиатскими ханствами и проч."</t>
        </r>
      </text>
    </comment>
    <comment ref="BC22" authorId="0">
      <text>
        <r>
          <rPr>
            <sz val="8"/>
            <rFont val="Tahoma"/>
            <family val="2"/>
          </rPr>
          <t>В этом числе 97.396р. по Закаспийской области обозначены как "С Персиею, Среднеазиатскими ханствами и проч." См. также примечание по среднеаз. ханствам.</t>
        </r>
      </text>
    </comment>
    <comment ref="BQ22" authorId="0">
      <text>
        <r>
          <rPr>
            <sz val="8"/>
            <rFont val="Tahoma"/>
            <family val="2"/>
          </rPr>
          <t>Сюда не включены 34.724р. по Узун-Адинской таможне, обозначенные как "С Персиею, Среднеазиатскими ханствами и проч."
Кроме того, в источнике имеется сноска: "Вообще в Департаменте таможенных сборов не имеется данных о вывозе в среднеазиатские ханства из каспийских портов, а равно и из Закаспийской области. Зарегистрирован только.... вывоз сахара" (всего на 1.666.442 р.)</t>
        </r>
      </text>
    </comment>
    <comment ref="BC23" authorId="0">
      <text>
        <r>
          <rPr>
            <sz val="8"/>
            <rFont val="Tahoma"/>
            <family val="2"/>
          </rPr>
          <t>В этом числе 111.802р. по Закаспийской области обозначены как "С Персиею, Среднеазиатскими ханствами и проч."</t>
        </r>
      </text>
    </comment>
    <comment ref="BX14" authorId="0">
      <text>
        <r>
          <rPr>
            <sz val="8"/>
            <rFont val="Tahoma"/>
            <family val="2"/>
          </rPr>
          <t>Данные о торговле со Швейцарией за 1884–1893 гг.  показаны только в ежегодниках с 1894 г. В 1894-1896 гг. Швейцария учитывается среди основных партнеров, затем – в числе "прочих" стран.</t>
        </r>
      </text>
    </comment>
    <comment ref="CH13" authorId="0">
      <text>
        <r>
          <rPr>
            <sz val="8"/>
            <rFont val="Tahoma"/>
            <family val="2"/>
          </rPr>
          <t>Данные по "прочим" странам за 1883 г. расчетные, отсутствуют в источнике.</t>
        </r>
      </text>
    </comment>
    <comment ref="CI13" authorId="0">
      <text>
        <r>
          <rPr>
            <sz val="8"/>
            <rFont val="Tahoma"/>
            <family val="2"/>
          </rPr>
          <t>Данные по "прочим" странам за 1883 г. расчетные, отсутствуют в источнике.</t>
        </r>
      </text>
    </comment>
    <comment ref="BM14" authorId="0">
      <text>
        <r>
          <rPr>
            <sz val="8"/>
            <rFont val="Tahoma"/>
            <family val="2"/>
          </rPr>
          <t>Данные за 1884-1891 показаны только в ретроспективе в сборниках 1894 года и далее</t>
        </r>
      </text>
    </comment>
    <comment ref="BC24" authorId="0">
      <text>
        <r>
          <rPr>
            <sz val="8"/>
            <rFont val="Tahoma"/>
            <family val="2"/>
          </rPr>
          <t>В этом числе 254.136р. по Закаспийской области обозначены как "С Персиею, Среднеазиатскими ханствами и проч."`</t>
        </r>
      </text>
    </comment>
    <comment ref="AX15" authorId="0">
      <text>
        <r>
          <rPr>
            <sz val="8"/>
            <rFont val="Tahoma"/>
            <family val="2"/>
          </rPr>
          <t>В сборниках 1894 и 1895 гг. ошибка – 4.304.567. Очевидно, не учтена азиатская граница</t>
        </r>
      </text>
    </comment>
    <comment ref="DQ20" authorId="0">
      <text>
        <r>
          <rPr>
            <sz val="10"/>
            <rFont val="Tahoma"/>
            <family val="2"/>
          </rPr>
          <t>Допущена опечатка в таб.I (стр.4) ежегодника за 1890 г., есть в списке отмеченных опечаток</t>
        </r>
      </text>
    </comment>
    <comment ref="DX15" authorId="0">
      <text>
        <r>
          <rPr>
            <sz val="10"/>
            <rFont val="Tahoma"/>
            <family val="2"/>
          </rPr>
          <t>Данные за 1885-1890 гг. (и проверка за 1891-1893 гг.) взяты из таблицы XII-Б-г ежегодника 1894 г.</t>
        </r>
      </text>
    </comment>
    <comment ref="DV18" authorId="0">
      <text>
        <r>
          <rPr>
            <sz val="10"/>
            <rFont val="Tahoma"/>
            <family val="2"/>
          </rPr>
          <t>В ежегоднике 1894 г. - ошибочно 9.818.949, также вывоз из Одессы в Сибирь показан ошибочно в 8.879.288, хотя в ежегоднике 1888 г. это 8.878.388.
Только учет того, что в 1894 г. здесь ошибка, а в 1888 г. - правильное число, дает сойтись общей сумме экспорта с вычетом вывоза в Сибирь, показанной в том же ежегоднике 1894 г. (Таб.I) и во всех последующих выпусках, в том числе в сбрнике под редакцией В.И.Покровского (1902).
Однако при 
Но надо также отметить, что вывоз из Петербурга в Сибирь в ежегоднике 1894 г. показан в 865.611 р., а в ежегоднике 1888 г. - 866.278 р. Здесь, напротив, для сходимости данных приходится считать, что правильная сумма приведена в 1894 г., что и сделано в данной таблице, хотя это, скорее всего, неправильно.</t>
        </r>
      </text>
    </comment>
    <comment ref="DV11" authorId="0">
      <text>
        <r>
          <rPr>
            <sz val="10"/>
            <rFont val="Tahoma"/>
            <family val="0"/>
          </rPr>
          <t>Морской вывоз из портов Черного и Балтийского морей в Приморье и Восточную Сибирь впервые был показан в ежегоднике 1885 г. (данными по отдельным таможням), вместе - в 1891 г. (сноской), затем в ежегодниках 1892-1893 гг. (приложение к таб. II-г). В эти годы (и ранее) этот перевоз считался в общей сумме экспорта и в числе вывоза "в прочие страны".
С 1894 г. печатается отдельная таблица (в 1894 г. - XIII-Б-г, потом XIII-Б-в) "Транзит российских товаров из портов Балтийской и Черноморской границ в порты Восточной Сибири", причем по сумме этого транзита приводятся ретроспективные данные с 1885 г., а также и ретроспективные данные по общей сумме вывоза с того же года, которые соответственно уменьшаются по сравнению с показанными в ежегодниках 1885-1893 г. Общая сумма экспорта с 1894 г. уже не включает эти данные.
Следуя источнику, мы включаем в данную таблицу сведения о транзите в Сибирь. Мы вычитаем эти данные из суммы вывоза "в прочие страны" за 1885-1893 гг. и не вычитаем - за 1894-1897 гг.
С 1898 г. эти данные окончательно уходят из внешнеторговой по смыслу таблицы "Транзит" в таблицу раздела "Каботажное мореходство". Их мы уже не включаем в данную таблицу.</t>
        </r>
      </text>
    </comment>
    <comment ref="DK12" authorId="0">
      <text>
        <r>
          <rPr>
            <sz val="10"/>
            <rFont val="Tahoma"/>
            <family val="2"/>
          </rPr>
          <t>Показана только с 1913 г. Дается отдельно, но и входит в общую сумму вывоза в Китай.</t>
        </r>
      </text>
    </comment>
    <comment ref="BX38" authorId="0">
      <text>
        <r>
          <rPr>
            <sz val="10"/>
            <rFont val="Tahoma"/>
            <family val="2"/>
          </rPr>
          <t>Торговля (формула ячейки Excel) рассчитана как сумма вывоза по европейской и азиатской границам</t>
        </r>
      </text>
    </comment>
    <comment ref="DM38" authorId="0">
      <text>
        <r>
          <rPr>
            <sz val="10"/>
            <rFont val="Tahoma"/>
            <family val="2"/>
          </rPr>
          <t>Данные скорректированы с учетом 231.562 вывоза в Швецарию по таможням азиатской границы</t>
        </r>
      </text>
    </comment>
    <comment ref="AL37" authorId="0">
      <text>
        <r>
          <rPr>
            <sz val="10"/>
            <rFont val="Tahoma"/>
            <family val="2"/>
          </rPr>
          <t>В таб.V источника ошибка: 3.423.937. Она учтена в списке опечаток.</t>
        </r>
      </text>
    </comment>
    <comment ref="BP37" authorId="0">
      <text>
        <r>
          <rPr>
            <sz val="10"/>
            <rFont val="Tahoma"/>
            <family val="2"/>
          </rPr>
          <t>В таб.V источника ошибка: 8.413.962. Она учтена в списке опечаток.</t>
        </r>
      </text>
    </comment>
    <comment ref="CD27" authorId="0">
      <text>
        <r>
          <rPr>
            <sz val="8"/>
            <rFont val="Tahoma"/>
            <family val="2"/>
          </rPr>
          <t>Торговля с Японией в 1897-1898 гг. входит в торговлю с "прочими" странами, а с 1899 г. дается в ряду с остальными важнейшими партнерами.</t>
        </r>
      </text>
    </comment>
    <comment ref="H28" authorId="0">
      <text>
        <r>
          <rPr>
            <sz val="10"/>
            <rFont val="Tahoma"/>
            <family val="2"/>
          </rPr>
          <t>В таб.V этого и последующих выпусков – на 2 руб. меньше (см. данные по Германии)</t>
        </r>
      </text>
    </comment>
    <comment ref="Z28" authorId="0">
      <text>
        <r>
          <rPr>
            <sz val="10"/>
            <rFont val="Tahoma"/>
            <family val="2"/>
          </rPr>
          <t>В таб.V этого и последующих выпусков – на 2 руб. больше (см. данные по Бельгии)</t>
        </r>
      </text>
    </comment>
    <comment ref="BX34" authorId="0">
      <text>
        <r>
          <rPr>
            <sz val="10"/>
            <rFont val="Tahoma"/>
            <family val="2"/>
          </rPr>
          <t>Торговля (формула ячейки Excel) рассчитана как сумма вывоза по европейской и азиатской границам</t>
        </r>
      </text>
    </comment>
    <comment ref="E33" authorId="0">
      <text>
        <r>
          <rPr>
            <sz val="10"/>
            <rFont val="Tahoma"/>
            <family val="2"/>
          </rPr>
          <t>В таб.II опечатка: 1.031.024.
Нет в списке опечаток тома.</t>
        </r>
      </text>
    </comment>
    <comment ref="BX32" authorId="0">
      <text>
        <r>
          <rPr>
            <sz val="10"/>
            <rFont val="Tahoma"/>
            <family val="2"/>
          </rPr>
          <t>Торговля (формула ячейки Excel) рассчитана как сумма вывоза по европейской и азиатской границам</t>
        </r>
      </text>
    </comment>
    <comment ref="CU32" authorId="0">
      <text>
        <r>
          <rPr>
            <sz val="10"/>
            <rFont val="Tahoma"/>
            <family val="2"/>
          </rPr>
          <t>Число показано только в прим. к таб.V.</t>
        </r>
      </text>
    </comment>
    <comment ref="CE11" authorId="0">
      <text>
        <r>
          <rPr>
            <sz val="10"/>
            <rFont val="Tahoma"/>
            <family val="2"/>
          </rPr>
          <t>Данные о торговле с отдельными странами показаны в таблицах II (разбиты по участкам границы) и V (разбиты по товарам). Список учтенных стран этих двух таблиц не вполне одинаков (не входят в таб.V Бразилия, Швейцария, Япония, состав меняется), поэтому и сумма "прочих стран" разная.
Мы берем эту сумму из таблицы II.
В 18..-1893 под этими данными имеется в виду таблица II-Б, по сути это та же самая таблица.</t>
        </r>
        <r>
          <rPr>
            <sz val="10"/>
            <rFont val="Tahoma"/>
            <family val="0"/>
          </rPr>
          <t xml:space="preserve">
</t>
        </r>
      </text>
    </comment>
    <comment ref="BX44" authorId="0">
      <text>
        <r>
          <rPr>
            <sz val="10"/>
            <rFont val="Tahoma"/>
            <family val="2"/>
          </rPr>
          <t>Торговля (формула ячейки Excel) рассчитана как сумма вывоза по европейской и азиатской границам</t>
        </r>
      </text>
    </comment>
    <comment ref="F46" authorId="0">
      <text>
        <r>
          <rPr>
            <sz val="10"/>
            <rFont val="Tahoma"/>
            <family val="2"/>
          </rPr>
          <t>В источнике указан ноль, а не прочерк, это означает "число, меньшее 500"</t>
        </r>
      </text>
    </comment>
    <comment ref="AJ46" authorId="0">
      <text>
        <r>
          <rPr>
            <sz val="10"/>
            <rFont val="Tahoma"/>
            <family val="2"/>
          </rPr>
          <t>В источнике указан ноль, а не прочерк, это означает "число, меньшее 500"</t>
        </r>
      </text>
    </comment>
    <comment ref="AM46" authorId="0">
      <text>
        <r>
          <rPr>
            <sz val="10"/>
            <rFont val="Tahoma"/>
            <family val="2"/>
          </rPr>
          <t>В источнике указан ноль, а не прочерк, это означает "число, меньшее 500"</t>
        </r>
      </text>
    </comment>
    <comment ref="AS46" authorId="0">
      <text>
        <r>
          <rPr>
            <sz val="10"/>
            <rFont val="Tahoma"/>
            <family val="2"/>
          </rPr>
          <t>В источнике указан ноль, а не прочерк, это означает "число, меньшее 500"</t>
        </r>
      </text>
    </comment>
    <comment ref="BB46" authorId="0">
      <text>
        <r>
          <rPr>
            <sz val="10"/>
            <rFont val="Tahoma"/>
            <family val="2"/>
          </rPr>
          <t>В источнике указан ноль, а не прочерк, это означает "число, меньшее 500"</t>
        </r>
      </text>
    </comment>
    <comment ref="BO37" authorId="0">
      <text>
        <r>
          <rPr>
            <sz val="10"/>
            <rFont val="Tahoma"/>
            <family val="2"/>
          </rPr>
          <t>В источнике опечатка: 1.896.016. Нет в списке замечанных опечаток.</t>
        </r>
      </text>
    </comment>
    <comment ref="BE46" authorId="0">
      <text>
        <r>
          <rPr>
            <sz val="10"/>
            <rFont val="Tahoma"/>
            <family val="2"/>
          </rPr>
          <t>В источнике указан ноль, а не прочерк, это означает "число, меньшее 500"</t>
        </r>
      </text>
    </comment>
    <comment ref="BQ25" authorId="0">
      <text>
        <r>
          <rPr>
            <sz val="8"/>
            <rFont val="Tahoma"/>
            <family val="2"/>
          </rPr>
          <t>В 1895 г. Бухара и Хива были включены в таможенную границу России</t>
        </r>
      </text>
    </comment>
    <comment ref="DW12" authorId="0">
      <text>
        <r>
          <rPr>
            <sz val="8"/>
            <rFont val="Tahoma"/>
            <family val="2"/>
          </rPr>
          <t>Точнее, это Кавказский участок Черноморской границы, а конкретно – из Батума и Новороссийска</t>
        </r>
        <r>
          <rPr>
            <sz val="10"/>
            <rFont val="Tahoma"/>
            <family val="0"/>
          </rPr>
          <t xml:space="preserve">
</t>
        </r>
      </text>
    </comment>
    <comment ref="DY11" authorId="0">
      <text>
        <r>
          <rPr>
            <sz val="10"/>
            <rFont val="Tahoma"/>
            <family val="2"/>
          </rPr>
          <t>Так же, как вывоз в Сибирь, учитывался в сумме экспорта вывоз с Балтики "на Мурманский берег" за 1888 и 1890 гг. Считая общую сумму вывоза, авторы выпуска за 1894 г. и сборника 1902 г. вычли вывоз в Сибирь, но оставили вывоз "на Мурманский берег". Мы следуем тому же принципу.</t>
        </r>
      </text>
    </comment>
  </commentList>
</comments>
</file>

<file path=xl/sharedStrings.xml><?xml version="1.0" encoding="utf-8"?>
<sst xmlns="http://schemas.openxmlformats.org/spreadsheetml/2006/main" count="293" uniqueCount="137">
  <si>
    <t>Источник данных:</t>
  </si>
  <si>
    <t>Австро-Венгрия</t>
  </si>
  <si>
    <t>Бельгия</t>
  </si>
  <si>
    <t>Болгария</t>
  </si>
  <si>
    <t>Великобритания</t>
  </si>
  <si>
    <t>Германия</t>
  </si>
  <si>
    <t>Голландия</t>
  </si>
  <si>
    <t>Греция</t>
  </si>
  <si>
    <t>Дания</t>
  </si>
  <si>
    <t>Египет</t>
  </si>
  <si>
    <t>Испания</t>
  </si>
  <si>
    <t>Италия</t>
  </si>
  <si>
    <t>Норвегия</t>
  </si>
  <si>
    <t>Ост-Индия</t>
  </si>
  <si>
    <t>Персия</t>
  </si>
  <si>
    <t>Португалия</t>
  </si>
  <si>
    <t>Румыния</t>
  </si>
  <si>
    <t>Сербия</t>
  </si>
  <si>
    <t>США</t>
  </si>
  <si>
    <t>Турция</t>
  </si>
  <si>
    <t>Франция</t>
  </si>
  <si>
    <t>Швеция</t>
  </si>
  <si>
    <t>Япония</t>
  </si>
  <si>
    <t>Финляндия</t>
  </si>
  <si>
    <t>Гибралтар</t>
  </si>
  <si>
    <t>Швейцария</t>
  </si>
  <si>
    <t>Корея</t>
  </si>
  <si>
    <t>Австралия</t>
  </si>
  <si>
    <t>Монголия</t>
  </si>
  <si>
    <t>Аргентина</t>
  </si>
  <si>
    <t>Мексика</t>
  </si>
  <si>
    <t>Бразилия</t>
  </si>
  <si>
    <t>Индо-Китай</t>
  </si>
  <si>
    <t>Аравия</t>
  </si>
  <si>
    <t>Сингапур</t>
  </si>
  <si>
    <t>Тунис</t>
  </si>
  <si>
    <t>Китай</t>
  </si>
  <si>
    <t>Алжир</t>
  </si>
  <si>
    <t>Абиссиния</t>
  </si>
  <si>
    <t>Занзибар</t>
  </si>
  <si>
    <t>Канада</t>
  </si>
  <si>
    <t>о.Цейлон</t>
  </si>
  <si>
    <t>о.Крит</t>
  </si>
  <si>
    <t>Швеция и Норвегия</t>
  </si>
  <si>
    <t>Пруссия</t>
  </si>
  <si>
    <t>Молдавия и Валахия</t>
  </si>
  <si>
    <t>Южная Америка</t>
  </si>
  <si>
    <t>Хива</t>
  </si>
  <si>
    <t>Австрия</t>
  </si>
  <si>
    <t>Киргизская степь</t>
  </si>
  <si>
    <t>Бухара</t>
  </si>
  <si>
    <t>Ташкент</t>
  </si>
  <si>
    <t>до 1870 включ нет суммы по всем границам, только Е+Ф и отдельно Аз</t>
  </si>
  <si>
    <t>Здесь изменяется отношение к среднеазиатской торговле, см. примечание</t>
  </si>
  <si>
    <t>Вместо двух томов снова один</t>
  </si>
  <si>
    <t>Тоскана</t>
  </si>
  <si>
    <t>Сардиния</t>
  </si>
  <si>
    <t>Коканд</t>
  </si>
  <si>
    <t>Зунд</t>
  </si>
  <si>
    <t>Южная Америка и Вест-Индия</t>
  </si>
  <si>
    <t>Царство Польское</t>
  </si>
  <si>
    <t>Америка</t>
  </si>
  <si>
    <t>вместе Швеция и Норвегия</t>
  </si>
  <si>
    <t>вместе Португалия и Испания</t>
  </si>
  <si>
    <t>с 1840 г. счет идет на рубли серебром</t>
  </si>
  <si>
    <t>До 1833 г. торговля по азиатской границе не распределяется по странам</t>
  </si>
  <si>
    <t>Тип сборника меняется, торговля по каждой стране показывается отдельной таблицей, увеличивается число стран. Здесь приводятся суммарные данные торговли по разным участкам границы, хотя в таблицах они не суммируются.</t>
  </si>
  <si>
    <t>по европ. границе</t>
  </si>
  <si>
    <t>по азиат. границе</t>
  </si>
  <si>
    <t>Всего</t>
  </si>
  <si>
    <t>Ганзеатические города</t>
  </si>
  <si>
    <t>Гос-ва Германского тамож. союза</t>
  </si>
  <si>
    <t>Как показано в источнике</t>
  </si>
  <si>
    <t>о.Мальта</t>
  </si>
  <si>
    <t>Реально оставшиеся нерасписанными</t>
  </si>
  <si>
    <t>В ежегоднике соответствующего года</t>
  </si>
  <si>
    <t>Вид сборника меняется, торговля по странам сводится снова в одну таблицу, вывоз по участкам границы в ней не регистрируется, но остается во введении. Печатаются также данные об общем вывозе в "основные" страны за 1884–1893 гг.</t>
  </si>
  <si>
    <t>С 1898 г. в таб.II публикуются только общие сведения о вывозе в каждую страну по азиатской границе (ранее приводились данные по ее участкам).</t>
  </si>
  <si>
    <t>C 1895 г. заканчивается неопределенность в вывозе в Персию и среднеазиатские ханства (все учтенное списывается на Персию)</t>
  </si>
  <si>
    <t>Капская колония</t>
  </si>
  <si>
    <t>Южно-Афр владения Великобр.</t>
  </si>
  <si>
    <t>с 1907 г. торговля с некоторыми странами из числа "прочих" дается в роспписи по товарам в отдельной таблице (приложение к таб.V); до того указывалась только сумма ввоза из них  в сносках к таб. II и V</t>
  </si>
  <si>
    <t>Соедин. Штаты Сев. Америки</t>
  </si>
  <si>
    <t>Разные Германские владения</t>
  </si>
  <si>
    <t>Возвращается сводная таблица по странам (приложение Б к введению) с пунктом "Прочие страны"</t>
  </si>
  <si>
    <t>Черноморская граница Кавказа отнесена к европейской границе</t>
  </si>
  <si>
    <t>Таблица составлена в рамках проекта "История и статистика внешней торговли России, 1897–1916"</t>
  </si>
  <si>
    <t>(см. также другие листы данного файла)</t>
  </si>
  <si>
    <t>Обзоры внешней торговли России за … [1827-1915] г. СПб.-Пг., 1828-1917.</t>
  </si>
  <si>
    <t>http://www.hist.msu.ru/Dynamics/10text.htm</t>
  </si>
  <si>
    <t xml:space="preserve">  точное название ежегодника изменялось, см., например, здесь:</t>
  </si>
  <si>
    <t>Ганзеати-ческие города (Гамбург и Бремен)</t>
  </si>
  <si>
    <t>Велико-британия</t>
  </si>
  <si>
    <r>
      <t>Королевство</t>
    </r>
    <r>
      <rPr>
        <sz val="8"/>
        <rFont val="Arial Cyr"/>
        <family val="0"/>
      </rPr>
      <t xml:space="preserve"> обеих Сицилий</t>
    </r>
  </si>
  <si>
    <t>Итальян-ские владения</t>
  </si>
  <si>
    <t>Ионичес-кие острова</t>
  </si>
  <si>
    <t>Турция
(по евр. границе)</t>
  </si>
  <si>
    <t>Турция
(по азиат. границе)</t>
  </si>
  <si>
    <t>Прочие места
(по евр. границе)</t>
  </si>
  <si>
    <t>Бессара-бия</t>
  </si>
  <si>
    <t>Прочие места
(по азиат. границе)</t>
  </si>
  <si>
    <t>СУММА
(по евр. границе)</t>
  </si>
  <si>
    <t>СУММА
(по азиат. границе)</t>
  </si>
  <si>
    <t>СУММА
ВСЕГО</t>
  </si>
  <si>
    <t>Пруссия
(по евр. границе)</t>
  </si>
  <si>
    <t>Пруссия
(по азиат. границе)</t>
  </si>
  <si>
    <t>Герман-ские владения</t>
  </si>
  <si>
    <t>Англия
(по евр. границе)</t>
  </si>
  <si>
    <t>Англия
(по азиат. границе)</t>
  </si>
  <si>
    <t>Франция
(по евр. границе)</t>
  </si>
  <si>
    <t>Франция
(по азиат. границе)</t>
  </si>
  <si>
    <t>Италия
(по евр. границе)</t>
  </si>
  <si>
    <t>Италия
(по азиат. границе)</t>
  </si>
  <si>
    <t>Австрия
(по евр. границе)</t>
  </si>
  <si>
    <t>Австрия
(по азиат. границе)</t>
  </si>
  <si>
    <t>Средне-азиатские ханства</t>
  </si>
  <si>
    <t>Афгани-стан</t>
  </si>
  <si>
    <t>Прочие места и страны</t>
  </si>
  <si>
    <t xml:space="preserve">   В списке прочих стран:</t>
  </si>
  <si>
    <t>Черно-гория</t>
  </si>
  <si>
    <r>
      <t xml:space="preserve">страны Азии, особо </t>
    </r>
    <r>
      <rPr>
        <sz val="6"/>
        <rFont val="Arial Cyr"/>
        <family val="2"/>
      </rPr>
      <t>непоименов.</t>
    </r>
  </si>
  <si>
    <r>
      <t xml:space="preserve">страны Африки, особо </t>
    </r>
    <r>
      <rPr>
        <sz val="6"/>
        <rFont val="Arial Cyr"/>
        <family val="2"/>
      </rPr>
      <t>непоименов.</t>
    </r>
  </si>
  <si>
    <r>
      <t xml:space="preserve">страны Америки, особо </t>
    </r>
    <r>
      <rPr>
        <sz val="6"/>
        <rFont val="Arial Cyr"/>
        <family val="2"/>
      </rPr>
      <t>непоименов.</t>
    </r>
  </si>
  <si>
    <t>Разница</t>
  </si>
  <si>
    <t>Вывоз в Сибирь</t>
  </si>
  <si>
    <t>на Мурманский берег</t>
  </si>
  <si>
    <t>Сведения о внешней торговле по европейской границе за декабрь и за весь 1917 год. Вып. 388(12). Пг., 1919. Таблицы. С. 8.</t>
  </si>
  <si>
    <t>Счет только на тыс.руб. Приведены данные только по европейской границе (вместе с Черноморской границей Кавказского края) границе и по привозу во Владивосток (последнее – с 1 января по 1 декабря 1916 г.); последнее мы записываем в азиатскую границу</t>
  </si>
  <si>
    <r>
      <t xml:space="preserve">Экспорт товаров из Российской империи в распределении по странам и регионам, а также по направлениям таможенной границы. 1827-1917 </t>
    </r>
    <r>
      <rPr>
        <b/>
        <i/>
        <sz val="14"/>
        <rFont val="Arial"/>
        <family val="2"/>
      </rPr>
      <t>(в руб.)</t>
    </r>
    <r>
      <rPr>
        <b/>
        <sz val="14"/>
        <rFont val="Arial"/>
        <family val="2"/>
      </rPr>
      <t>.</t>
    </r>
  </si>
  <si>
    <t>Также записываем в нераспределенные страны по азиатской границе избранные товары, показанные вместе с вывезенными по европейской границе</t>
  </si>
  <si>
    <r>
      <t xml:space="preserve">СУММА
(по азиат. границе), </t>
    </r>
    <r>
      <rPr>
        <sz val="6"/>
        <rFont val="Arial Cyr"/>
        <family val="2"/>
      </rPr>
      <t>без транзита</t>
    </r>
  </si>
  <si>
    <r>
      <t xml:space="preserve">СУММА
(по азиат. границе),
</t>
    </r>
    <r>
      <rPr>
        <sz val="6"/>
        <rFont val="Arial Cyr"/>
        <family val="2"/>
      </rPr>
      <t>с транзитом</t>
    </r>
  </si>
  <si>
    <r>
      <t xml:space="preserve">СУММА
ВСЕГО
</t>
    </r>
    <r>
      <rPr>
        <sz val="6"/>
        <color indexed="18"/>
        <rFont val="Arial Cyr"/>
        <family val="2"/>
      </rPr>
      <t>(в источнике)</t>
    </r>
  </si>
  <si>
    <t>Китай с транзитом (как в источнике)</t>
  </si>
  <si>
    <t>Китай без транзита</t>
  </si>
  <si>
    <t>Транзитные товары в Китай</t>
  </si>
  <si>
    <t>Польша входит в состав таможенных границ России; одновременно перестает показываться транзитная торговля с Китаем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</si>
</sst>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</numFmts>
  <fonts count="44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sz val="8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8"/>
      <color indexed="10"/>
      <name val="Arial Narrow"/>
      <family val="2"/>
    </font>
    <font>
      <sz val="8"/>
      <name val="Tahom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12"/>
      <name val="Arial Cyr"/>
      <family val="0"/>
    </font>
    <font>
      <sz val="7"/>
      <color indexed="12"/>
      <name val="Arial Cyr"/>
      <family val="0"/>
    </font>
    <font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20"/>
      <name val="Arial Narrow"/>
      <family val="2"/>
    </font>
    <font>
      <sz val="8"/>
      <color indexed="57"/>
      <name val="Arial Narrow"/>
      <family val="2"/>
    </font>
    <font>
      <sz val="8"/>
      <color indexed="21"/>
      <name val="Arial Narrow"/>
      <family val="2"/>
    </font>
    <font>
      <i/>
      <sz val="8"/>
      <name val="Tahoma"/>
      <family val="2"/>
    </font>
    <font>
      <sz val="8"/>
      <color indexed="20"/>
      <name val="Arial Cyr"/>
      <family val="2"/>
    </font>
    <font>
      <sz val="10"/>
      <color indexed="62"/>
      <name val="Arial Cyr"/>
      <family val="0"/>
    </font>
    <font>
      <sz val="8"/>
      <color indexed="62"/>
      <name val="Arial Cyr"/>
      <family val="2"/>
    </font>
    <font>
      <sz val="8"/>
      <color indexed="62"/>
      <name val="Arial Narrow"/>
      <family val="2"/>
    </font>
    <font>
      <sz val="10"/>
      <color indexed="62"/>
      <name val="Arial"/>
      <family val="2"/>
    </font>
    <font>
      <sz val="7"/>
      <color indexed="62"/>
      <name val="Arial Cyr"/>
      <family val="0"/>
    </font>
    <font>
      <sz val="10"/>
      <name val="Tahoma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i/>
      <u val="single"/>
      <sz val="10"/>
      <color indexed="12"/>
      <name val="Arial Cyr"/>
      <family val="2"/>
    </font>
    <font>
      <sz val="6"/>
      <name val="Arial Cyr"/>
      <family val="2"/>
    </font>
    <font>
      <i/>
      <sz val="8"/>
      <color indexed="62"/>
      <name val="Arial Narrow"/>
      <family val="2"/>
    </font>
    <font>
      <i/>
      <sz val="8"/>
      <color indexed="20"/>
      <name val="Arial Narrow"/>
      <family val="2"/>
    </font>
    <font>
      <i/>
      <sz val="7"/>
      <name val="Arial Black"/>
      <family val="2"/>
    </font>
    <font>
      <i/>
      <sz val="8"/>
      <name val="Arial Narrow"/>
      <family val="2"/>
    </font>
    <font>
      <sz val="8"/>
      <color indexed="52"/>
      <name val="Arial Narrow"/>
      <family val="2"/>
    </font>
    <font>
      <sz val="8"/>
      <color indexed="18"/>
      <name val="Arial Cyr"/>
      <family val="2"/>
    </font>
    <font>
      <sz val="6"/>
      <color indexed="18"/>
      <name val="Arial Cyr"/>
      <family val="2"/>
    </font>
    <font>
      <sz val="8"/>
      <color indexed="18"/>
      <name val="Arial Narrow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16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2" borderId="3" xfId="0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21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5" borderId="1" xfId="0" applyNumberFormat="1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3" fillId="2" borderId="1" xfId="0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2" borderId="1" xfId="0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3" fontId="6" fillId="4" borderId="1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3" fontId="20" fillId="3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19" fillId="0" borderId="1" xfId="0" applyNumberFormat="1" applyFont="1" applyBorder="1" applyAlignment="1">
      <alignment/>
    </xf>
    <xf numFmtId="3" fontId="6" fillId="3" borderId="1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15" applyFont="1" applyAlignment="1">
      <alignment/>
    </xf>
    <xf numFmtId="0" fontId="0" fillId="2" borderId="5" xfId="0" applyFill="1" applyBorder="1" applyAlignment="1">
      <alignment horizontal="centerContinuous"/>
    </xf>
    <xf numFmtId="0" fontId="1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19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3" fillId="2" borderId="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left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36" fillId="2" borderId="1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3" fontId="38" fillId="0" borderId="1" xfId="0" applyNumberFormat="1" applyFont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9" fillId="0" borderId="1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0" fillId="2" borderId="1" xfId="0" applyFont="1" applyFill="1" applyBorder="1" applyAlignment="1">
      <alignment horizontal="center" vertical="top" wrapText="1"/>
    </xf>
    <xf numFmtId="3" fontId="42" fillId="0" borderId="0" xfId="0" applyNumberFormat="1" applyFont="1" applyFill="1" applyBorder="1" applyAlignment="1">
      <alignment/>
    </xf>
    <xf numFmtId="3" fontId="21" fillId="2" borderId="1" xfId="0" applyNumberFormat="1" applyFont="1" applyFill="1" applyBorder="1" applyAlignment="1">
      <alignment/>
    </xf>
    <xf numFmtId="0" fontId="25" fillId="2" borderId="1" xfId="0" applyFont="1" applyFill="1" applyBorder="1" applyAlignment="1">
      <alignment horizontal="center" vertical="top" wrapText="1"/>
    </xf>
    <xf numFmtId="3" fontId="26" fillId="0" borderId="1" xfId="0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/>
    </xf>
    <xf numFmtId="3" fontId="26" fillId="3" borderId="1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st.msu.ru/Dynamics/10tex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st.msu.ru/Dynamics/10text.ht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st.msu.ru/Dynamics/10text.ht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B66"/>
  <sheetViews>
    <sheetView tabSelected="1" zoomScale="125" zoomScaleNormal="12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4.25390625" style="1" customWidth="1"/>
    <col min="2" max="30" width="8.375" style="0" customWidth="1"/>
    <col min="31" max="31" width="8.375" style="13" customWidth="1"/>
    <col min="32" max="44" width="8.375" style="0" customWidth="1"/>
    <col min="45" max="45" width="9.75390625" style="0" customWidth="1"/>
    <col min="46" max="47" width="8.375" style="0" customWidth="1"/>
    <col min="48" max="49" width="8.375" style="28" customWidth="1"/>
    <col min="50" max="82" width="8.375" style="0" customWidth="1"/>
  </cols>
  <sheetData>
    <row r="1" ht="12.75">
      <c r="A1" s="75" t="s">
        <v>86</v>
      </c>
    </row>
    <row r="2" ht="12.75"/>
    <row r="3" ht="12.75">
      <c r="A3" s="9" t="s">
        <v>0</v>
      </c>
    </row>
    <row r="4" ht="12.75">
      <c r="B4" t="s">
        <v>88</v>
      </c>
    </row>
    <row r="5" spans="2:11" ht="12.75">
      <c r="B5" s="77" t="s">
        <v>90</v>
      </c>
      <c r="C5" s="77"/>
      <c r="D5" s="77"/>
      <c r="E5" s="77"/>
      <c r="F5" s="77"/>
      <c r="G5" s="77"/>
      <c r="H5" s="77"/>
      <c r="I5" s="78"/>
      <c r="J5" s="78" t="s">
        <v>89</v>
      </c>
      <c r="K5" s="78"/>
    </row>
    <row r="6" ht="12.75">
      <c r="B6" s="8" t="s">
        <v>126</v>
      </c>
    </row>
    <row r="7" ht="12.75"/>
    <row r="8" ht="18.75">
      <c r="A8" s="12" t="s">
        <v>128</v>
      </c>
    </row>
    <row r="9" ht="12.75">
      <c r="A9" s="76" t="s">
        <v>87</v>
      </c>
    </row>
    <row r="10" ht="12.75"/>
    <row r="11" spans="1:106" ht="48" customHeight="1">
      <c r="A11" s="11"/>
      <c r="B11" s="7" t="s">
        <v>21</v>
      </c>
      <c r="C11" s="7" t="s">
        <v>12</v>
      </c>
      <c r="D11" s="7" t="s">
        <v>62</v>
      </c>
      <c r="E11" s="7" t="s">
        <v>44</v>
      </c>
      <c r="F11" s="81" t="s">
        <v>91</v>
      </c>
      <c r="G11" s="82" t="s">
        <v>83</v>
      </c>
      <c r="H11" s="7" t="s">
        <v>8</v>
      </c>
      <c r="I11" s="7" t="s">
        <v>58</v>
      </c>
      <c r="J11" s="7" t="s">
        <v>6</v>
      </c>
      <c r="K11" s="7" t="s">
        <v>2</v>
      </c>
      <c r="L11" s="7" t="s">
        <v>92</v>
      </c>
      <c r="M11" s="7" t="s">
        <v>20</v>
      </c>
      <c r="N11" s="7" t="s">
        <v>15</v>
      </c>
      <c r="O11" s="7" t="s">
        <v>10</v>
      </c>
      <c r="P11" s="7" t="s">
        <v>63</v>
      </c>
      <c r="Q11" s="7" t="s">
        <v>56</v>
      </c>
      <c r="R11" s="7" t="s">
        <v>55</v>
      </c>
      <c r="S11" s="82" t="s">
        <v>93</v>
      </c>
      <c r="T11" s="7" t="s">
        <v>94</v>
      </c>
      <c r="U11" s="7" t="s">
        <v>48</v>
      </c>
      <c r="V11" s="7" t="s">
        <v>95</v>
      </c>
      <c r="W11" s="7" t="s">
        <v>7</v>
      </c>
      <c r="X11" s="7" t="s">
        <v>96</v>
      </c>
      <c r="Y11" s="7" t="s">
        <v>97</v>
      </c>
      <c r="Z11" s="7" t="s">
        <v>19</v>
      </c>
      <c r="AA11" s="7" t="s">
        <v>45</v>
      </c>
      <c r="AB11" s="7" t="s">
        <v>18</v>
      </c>
      <c r="AC11" s="7" t="s">
        <v>59</v>
      </c>
      <c r="AD11" s="7" t="s">
        <v>61</v>
      </c>
      <c r="AE11" s="29" t="s">
        <v>98</v>
      </c>
      <c r="AF11" s="7" t="s">
        <v>23</v>
      </c>
      <c r="AG11" s="7" t="s">
        <v>60</v>
      </c>
      <c r="AH11" s="7" t="s">
        <v>99</v>
      </c>
      <c r="AI11" s="7" t="s">
        <v>14</v>
      </c>
      <c r="AJ11" s="7" t="s">
        <v>49</v>
      </c>
      <c r="AK11" s="7" t="s">
        <v>47</v>
      </c>
      <c r="AL11" s="7" t="s">
        <v>50</v>
      </c>
      <c r="AM11" s="7" t="s">
        <v>51</v>
      </c>
      <c r="AN11" s="7" t="s">
        <v>57</v>
      </c>
      <c r="AO11" s="29" t="s">
        <v>100</v>
      </c>
      <c r="AP11" s="7" t="s">
        <v>134</v>
      </c>
      <c r="AQ11" s="111" t="s">
        <v>133</v>
      </c>
      <c r="AR11" s="111" t="s">
        <v>135</v>
      </c>
      <c r="AS11" s="7" t="s">
        <v>101</v>
      </c>
      <c r="AT11" s="7" t="s">
        <v>130</v>
      </c>
      <c r="AU11" s="7" t="s">
        <v>103</v>
      </c>
      <c r="AV11" s="7" t="s">
        <v>131</v>
      </c>
      <c r="AW11" s="108" t="s">
        <v>132</v>
      </c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</row>
    <row r="12" spans="1:82" ht="13.5" customHeight="1">
      <c r="A12" s="1">
        <v>1827</v>
      </c>
      <c r="B12" s="71"/>
      <c r="C12" s="71"/>
      <c r="D12" s="36">
        <v>4195586</v>
      </c>
      <c r="E12" s="36">
        <v>13275134</v>
      </c>
      <c r="F12" s="36">
        <v>7374497</v>
      </c>
      <c r="G12" s="36"/>
      <c r="H12" s="36">
        <v>10760898</v>
      </c>
      <c r="I12" s="36"/>
      <c r="J12" s="36">
        <v>11792254</v>
      </c>
      <c r="K12" s="36"/>
      <c r="L12" s="36">
        <v>105649318</v>
      </c>
      <c r="M12" s="36">
        <v>8394104</v>
      </c>
      <c r="N12" s="71"/>
      <c r="O12" s="71"/>
      <c r="P12" s="36">
        <v>2659921</v>
      </c>
      <c r="Q12" s="71"/>
      <c r="R12" s="71"/>
      <c r="S12" s="71"/>
      <c r="T12" s="36">
        <v>9414276</v>
      </c>
      <c r="U12" s="36">
        <v>9510645</v>
      </c>
      <c r="V12" s="71"/>
      <c r="W12" s="71"/>
      <c r="X12" s="36">
        <v>13661254</v>
      </c>
      <c r="Y12" s="36"/>
      <c r="Z12" s="36"/>
      <c r="AA12" s="36"/>
      <c r="AB12" s="71"/>
      <c r="AC12" s="71"/>
      <c r="AD12" s="36">
        <v>11330592</v>
      </c>
      <c r="AE12" s="39">
        <v>1774355</v>
      </c>
      <c r="AF12" s="36">
        <v>1450762</v>
      </c>
      <c r="AG12" s="36">
        <v>5845207</v>
      </c>
      <c r="AH12" s="36">
        <v>5243254</v>
      </c>
      <c r="AI12" s="36"/>
      <c r="AJ12" s="36"/>
      <c r="AK12" s="36"/>
      <c r="AL12" s="36"/>
      <c r="AM12" s="36"/>
      <c r="AN12" s="36"/>
      <c r="AO12" s="36"/>
      <c r="AP12" s="36"/>
      <c r="AQ12" s="112"/>
      <c r="AR12" s="113">
        <v>1721858</v>
      </c>
      <c r="AS12" s="46">
        <f aca="true" t="shared" si="0" ref="AS12:AS32">SUM(B12:X12,AA12:AE12)</f>
        <v>209792834</v>
      </c>
      <c r="AT12" s="38">
        <f>AV12-AR12</f>
        <v>15962888</v>
      </c>
      <c r="AU12" s="70">
        <f>AS12+AT12+AF12+AG12+AH12</f>
        <v>238294945</v>
      </c>
      <c r="AV12" s="39">
        <v>17684746</v>
      </c>
      <c r="AW12" s="20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ht="13.5" customHeight="1">
      <c r="A13" s="1">
        <v>1828</v>
      </c>
      <c r="B13" s="71"/>
      <c r="C13" s="71"/>
      <c r="D13" s="36">
        <v>2874079</v>
      </c>
      <c r="E13" s="36">
        <v>13198201</v>
      </c>
      <c r="F13" s="36">
        <v>7119901</v>
      </c>
      <c r="G13" s="36"/>
      <c r="H13" s="36">
        <v>13662196</v>
      </c>
      <c r="I13" s="36"/>
      <c r="J13" s="36">
        <v>10348531</v>
      </c>
      <c r="K13" s="36"/>
      <c r="L13" s="36">
        <v>89565315</v>
      </c>
      <c r="M13" s="36">
        <v>7430170</v>
      </c>
      <c r="N13" s="71"/>
      <c r="O13" s="71"/>
      <c r="P13" s="36">
        <v>2591074</v>
      </c>
      <c r="Q13" s="71"/>
      <c r="R13" s="71"/>
      <c r="S13" s="71"/>
      <c r="T13" s="36">
        <v>1214570</v>
      </c>
      <c r="U13" s="36">
        <v>8708258</v>
      </c>
      <c r="V13" s="71"/>
      <c r="W13" s="71"/>
      <c r="X13" s="36">
        <v>1355053</v>
      </c>
      <c r="Y13" s="36"/>
      <c r="Z13" s="36"/>
      <c r="AA13" s="36"/>
      <c r="AB13" s="71"/>
      <c r="AC13" s="71"/>
      <c r="AD13" s="36">
        <v>13668722</v>
      </c>
      <c r="AE13" s="39">
        <v>1435788</v>
      </c>
      <c r="AF13" s="36">
        <v>1343069</v>
      </c>
      <c r="AG13" s="36">
        <v>6414754</v>
      </c>
      <c r="AH13" s="36">
        <v>7187627</v>
      </c>
      <c r="AI13" s="36"/>
      <c r="AJ13" s="36"/>
      <c r="AK13" s="36"/>
      <c r="AL13" s="36"/>
      <c r="AM13" s="36"/>
      <c r="AN13" s="36"/>
      <c r="AO13" s="36"/>
      <c r="AP13" s="36"/>
      <c r="AQ13" s="112"/>
      <c r="AR13" s="113">
        <v>2170174</v>
      </c>
      <c r="AS13" s="46">
        <f t="shared" si="0"/>
        <v>173171858</v>
      </c>
      <c r="AT13" s="2">
        <v>18235490</v>
      </c>
      <c r="AU13" s="70">
        <f>AS13+AT13+AF13+AG13+AH13</f>
        <v>206352798</v>
      </c>
      <c r="AV13" s="39"/>
      <c r="AW13" s="39"/>
      <c r="AX13" s="35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ht="13.5" customHeight="1">
      <c r="A14" s="1">
        <v>1829</v>
      </c>
      <c r="B14" s="71"/>
      <c r="C14" s="71"/>
      <c r="D14" s="36">
        <v>3152889</v>
      </c>
      <c r="E14" s="36">
        <v>14202102</v>
      </c>
      <c r="F14" s="36">
        <v>8811161</v>
      </c>
      <c r="G14" s="36"/>
      <c r="H14" s="36">
        <v>16261673</v>
      </c>
      <c r="I14" s="43"/>
      <c r="J14" s="36">
        <v>12040830</v>
      </c>
      <c r="K14" s="36"/>
      <c r="L14" s="36">
        <v>97739047</v>
      </c>
      <c r="M14" s="36">
        <v>11307730</v>
      </c>
      <c r="N14" s="71"/>
      <c r="O14" s="71"/>
      <c r="P14" s="36">
        <v>1613285</v>
      </c>
      <c r="Q14" s="71"/>
      <c r="R14" s="71"/>
      <c r="S14" s="71"/>
      <c r="T14" s="36">
        <v>1465904</v>
      </c>
      <c r="U14" s="36">
        <v>7747716</v>
      </c>
      <c r="V14" s="71"/>
      <c r="W14" s="71"/>
      <c r="X14" s="36">
        <v>4750781</v>
      </c>
      <c r="Y14" s="36"/>
      <c r="Z14" s="36"/>
      <c r="AA14" s="36"/>
      <c r="AB14" s="71"/>
      <c r="AC14" s="71"/>
      <c r="AD14" s="36">
        <v>8775360</v>
      </c>
      <c r="AE14" s="39">
        <v>406287</v>
      </c>
      <c r="AF14" s="36">
        <v>1696914</v>
      </c>
      <c r="AG14" s="36">
        <v>7815288</v>
      </c>
      <c r="AH14" s="36">
        <v>8827233</v>
      </c>
      <c r="AI14" s="36"/>
      <c r="AJ14" s="36"/>
      <c r="AK14" s="36"/>
      <c r="AL14" s="36"/>
      <c r="AM14" s="36"/>
      <c r="AN14" s="36"/>
      <c r="AO14" s="36"/>
      <c r="AP14" s="36"/>
      <c r="AQ14" s="112"/>
      <c r="AR14" s="113">
        <v>1965805</v>
      </c>
      <c r="AS14" s="46">
        <f t="shared" si="0"/>
        <v>188274765</v>
      </c>
      <c r="AT14" s="2">
        <v>20155439</v>
      </c>
      <c r="AU14" s="70">
        <f>AS14+AT14+AF14+AG14+AH14</f>
        <v>226769639</v>
      </c>
      <c r="AV14" s="39"/>
      <c r="AW14" s="20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13.5" customHeight="1">
      <c r="A15" s="1">
        <v>1830</v>
      </c>
      <c r="B15" s="71"/>
      <c r="C15" s="71"/>
      <c r="D15" s="36">
        <v>3234529</v>
      </c>
      <c r="E15" s="36">
        <v>18837136</v>
      </c>
      <c r="F15" s="36">
        <v>12021765</v>
      </c>
      <c r="G15" s="36"/>
      <c r="H15" s="36">
        <v>9950294</v>
      </c>
      <c r="I15" s="36">
        <v>7251494</v>
      </c>
      <c r="J15" s="36">
        <v>13256119</v>
      </c>
      <c r="K15" s="36"/>
      <c r="L15" s="36">
        <v>96220912</v>
      </c>
      <c r="M15" s="36">
        <v>13604557</v>
      </c>
      <c r="N15" s="71"/>
      <c r="O15" s="71"/>
      <c r="P15" s="36">
        <v>3170132</v>
      </c>
      <c r="Q15" s="71"/>
      <c r="R15" s="71"/>
      <c r="S15" s="71"/>
      <c r="T15" s="36">
        <v>13328084</v>
      </c>
      <c r="U15" s="36">
        <v>8793234</v>
      </c>
      <c r="V15" s="71"/>
      <c r="W15" s="71"/>
      <c r="X15" s="36">
        <v>29216608</v>
      </c>
      <c r="Y15" s="36"/>
      <c r="Z15" s="36"/>
      <c r="AA15" s="36"/>
      <c r="AB15" s="71"/>
      <c r="AC15" s="71"/>
      <c r="AD15" s="36">
        <v>4657742</v>
      </c>
      <c r="AE15" s="39">
        <v>1826566</v>
      </c>
      <c r="AF15" s="36">
        <v>2642911</v>
      </c>
      <c r="AG15" s="36">
        <v>7953028</v>
      </c>
      <c r="AH15" s="36">
        <v>10571723</v>
      </c>
      <c r="AI15" s="36"/>
      <c r="AJ15" s="36"/>
      <c r="AK15" s="36"/>
      <c r="AL15" s="36"/>
      <c r="AM15" s="36"/>
      <c r="AN15" s="36"/>
      <c r="AO15" s="36"/>
      <c r="AP15" s="36"/>
      <c r="AQ15" s="112"/>
      <c r="AR15" s="113">
        <v>1983573</v>
      </c>
      <c r="AS15" s="46">
        <f t="shared" si="0"/>
        <v>235369172</v>
      </c>
      <c r="AT15" s="2">
        <v>15791721</v>
      </c>
      <c r="AU15" s="70">
        <f>AS15+AT15+AF15+AG15+AH15</f>
        <v>272328555</v>
      </c>
      <c r="AV15" s="39"/>
      <c r="AW15" s="20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13.5" customHeight="1">
      <c r="A16" s="1">
        <v>1831</v>
      </c>
      <c r="B16" s="71"/>
      <c r="C16" s="71"/>
      <c r="D16" s="36">
        <v>3183847</v>
      </c>
      <c r="E16" s="36">
        <v>12431702</v>
      </c>
      <c r="F16" s="36">
        <v>7769552</v>
      </c>
      <c r="G16" s="36"/>
      <c r="H16" s="36">
        <v>6201129</v>
      </c>
      <c r="I16" s="36">
        <v>7968996</v>
      </c>
      <c r="J16" s="36">
        <v>13531184</v>
      </c>
      <c r="K16" s="36"/>
      <c r="L16" s="36">
        <v>119920054</v>
      </c>
      <c r="M16" s="36">
        <v>3802379</v>
      </c>
      <c r="N16" s="71"/>
      <c r="O16" s="71"/>
      <c r="P16" s="36">
        <v>2008071</v>
      </c>
      <c r="Q16" s="71"/>
      <c r="R16" s="71"/>
      <c r="S16" s="71"/>
      <c r="T16" s="36">
        <v>7315247</v>
      </c>
      <c r="U16" s="36">
        <v>10923901</v>
      </c>
      <c r="V16" s="71"/>
      <c r="W16" s="71"/>
      <c r="X16" s="36">
        <v>22133640</v>
      </c>
      <c r="Y16" s="36"/>
      <c r="Z16" s="36"/>
      <c r="AA16" s="36"/>
      <c r="AB16" s="71"/>
      <c r="AC16" s="71"/>
      <c r="AD16" s="36">
        <v>9285684</v>
      </c>
      <c r="AE16" s="39">
        <v>789733</v>
      </c>
      <c r="AF16" s="36">
        <v>1909341</v>
      </c>
      <c r="AG16" s="36">
        <v>0</v>
      </c>
      <c r="AH16" s="43"/>
      <c r="AI16" s="36"/>
      <c r="AJ16" s="36"/>
      <c r="AK16" s="36"/>
      <c r="AL16" s="36"/>
      <c r="AM16" s="36"/>
      <c r="AN16" s="36"/>
      <c r="AO16" s="36"/>
      <c r="AP16" s="36"/>
      <c r="AQ16" s="112"/>
      <c r="AR16" s="113">
        <v>2120522</v>
      </c>
      <c r="AS16" s="46">
        <f t="shared" si="0"/>
        <v>227265119</v>
      </c>
      <c r="AT16" s="2">
        <v>15038616</v>
      </c>
      <c r="AU16" s="70">
        <f aca="true" t="shared" si="1" ref="AU16:AU25">AS16+AT16+AF16+AG16</f>
        <v>244213076</v>
      </c>
      <c r="AV16" s="39"/>
      <c r="AW16" s="20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13.5" customHeight="1">
      <c r="A17" s="1">
        <v>1832</v>
      </c>
      <c r="B17" s="71"/>
      <c r="C17" s="71"/>
      <c r="D17" s="36">
        <v>3499302</v>
      </c>
      <c r="E17" s="36">
        <v>17031663</v>
      </c>
      <c r="F17" s="36">
        <v>7622559</v>
      </c>
      <c r="G17" s="36"/>
      <c r="H17" s="36">
        <v>16427634</v>
      </c>
      <c r="I17" s="36">
        <v>7892736</v>
      </c>
      <c r="J17" s="36">
        <v>12060465</v>
      </c>
      <c r="K17" s="36"/>
      <c r="L17" s="36">
        <v>95512036</v>
      </c>
      <c r="M17" s="36">
        <v>10821866</v>
      </c>
      <c r="N17" s="71"/>
      <c r="O17" s="71"/>
      <c r="P17" s="36">
        <v>1337595</v>
      </c>
      <c r="Q17" s="71"/>
      <c r="R17" s="71"/>
      <c r="S17" s="71"/>
      <c r="T17" s="36">
        <v>10262708</v>
      </c>
      <c r="U17" s="36">
        <v>13770521</v>
      </c>
      <c r="V17" s="71"/>
      <c r="W17" s="71"/>
      <c r="X17" s="36">
        <v>21669746</v>
      </c>
      <c r="Y17" s="43"/>
      <c r="Z17" s="43"/>
      <c r="AA17" s="36"/>
      <c r="AB17" s="71"/>
      <c r="AC17" s="71"/>
      <c r="AD17" s="36">
        <v>8585696</v>
      </c>
      <c r="AE17" s="39">
        <v>1803892</v>
      </c>
      <c r="AF17" s="36">
        <v>3360565</v>
      </c>
      <c r="AG17" s="36">
        <v>13435904</v>
      </c>
      <c r="AH17" s="36"/>
      <c r="AI17" s="43"/>
      <c r="AJ17" s="43"/>
      <c r="AK17" s="43"/>
      <c r="AL17" s="43"/>
      <c r="AM17" s="43"/>
      <c r="AN17" s="43"/>
      <c r="AO17" s="43"/>
      <c r="AP17" s="43"/>
      <c r="AQ17" s="114"/>
      <c r="AR17" s="113">
        <v>1623151</v>
      </c>
      <c r="AS17" s="46">
        <f t="shared" si="0"/>
        <v>228298419</v>
      </c>
      <c r="AT17" s="2">
        <v>15936644</v>
      </c>
      <c r="AU17" s="70">
        <f t="shared" si="1"/>
        <v>261031532</v>
      </c>
      <c r="AV17" s="39"/>
      <c r="AW17" s="20"/>
      <c r="AX17" s="2" t="s">
        <v>65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13.5" customHeight="1">
      <c r="A18" s="1">
        <v>1833</v>
      </c>
      <c r="B18" s="71"/>
      <c r="C18" s="71"/>
      <c r="D18" s="36">
        <v>3377045</v>
      </c>
      <c r="E18" s="36">
        <v>14654654</v>
      </c>
      <c r="F18" s="36">
        <v>5734967</v>
      </c>
      <c r="G18" s="36"/>
      <c r="H18" s="36">
        <v>9290457</v>
      </c>
      <c r="I18" s="36">
        <v>1470201</v>
      </c>
      <c r="J18" s="36">
        <v>8348529</v>
      </c>
      <c r="K18" s="36"/>
      <c r="L18" s="36">
        <v>111248235</v>
      </c>
      <c r="M18" s="36">
        <v>10873778</v>
      </c>
      <c r="N18" s="71"/>
      <c r="O18" s="71"/>
      <c r="P18" s="36">
        <v>1143661</v>
      </c>
      <c r="Q18" s="71"/>
      <c r="R18" s="71"/>
      <c r="S18" s="71"/>
      <c r="T18" s="36">
        <v>6169706</v>
      </c>
      <c r="U18" s="36">
        <v>14608841</v>
      </c>
      <c r="V18" s="71"/>
      <c r="W18" s="71"/>
      <c r="X18" s="36">
        <v>17453349</v>
      </c>
      <c r="Y18" s="36">
        <v>363473</v>
      </c>
      <c r="Z18" s="35">
        <f aca="true" t="shared" si="2" ref="Z18:Z36">X18+Y18</f>
        <v>17816822</v>
      </c>
      <c r="AA18" s="39"/>
      <c r="AB18" s="71"/>
      <c r="AC18" s="71"/>
      <c r="AD18" s="36">
        <v>13464124</v>
      </c>
      <c r="AE18" s="39">
        <v>957161</v>
      </c>
      <c r="AF18" s="36">
        <v>2143250</v>
      </c>
      <c r="AG18" s="36">
        <v>11947883</v>
      </c>
      <c r="AH18" s="36"/>
      <c r="AI18" s="36">
        <v>2960580</v>
      </c>
      <c r="AJ18" s="36">
        <v>4625338</v>
      </c>
      <c r="AK18" s="36">
        <v>513176</v>
      </c>
      <c r="AL18" s="36">
        <v>875642</v>
      </c>
      <c r="AM18" s="36">
        <v>0</v>
      </c>
      <c r="AN18" s="36">
        <v>1009861</v>
      </c>
      <c r="AO18" s="36">
        <v>267964</v>
      </c>
      <c r="AP18" s="38">
        <f>AQ18-AR18</f>
        <v>5761002</v>
      </c>
      <c r="AQ18" s="112">
        <v>7333151</v>
      </c>
      <c r="AR18" s="113">
        <v>1572149</v>
      </c>
      <c r="AS18" s="46">
        <f t="shared" si="0"/>
        <v>218794708</v>
      </c>
      <c r="AT18" s="38">
        <f>SUM(AI18:AP18,Y18)</f>
        <v>16377036</v>
      </c>
      <c r="AU18" s="110">
        <f t="shared" si="1"/>
        <v>249262877</v>
      </c>
      <c r="AV18" s="20">
        <v>17949185</v>
      </c>
      <c r="AW18" s="109">
        <v>250835026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ht="13.5" customHeight="1">
      <c r="A19" s="1">
        <v>1834</v>
      </c>
      <c r="B19" s="71"/>
      <c r="C19" s="71"/>
      <c r="D19" s="36">
        <v>3481423</v>
      </c>
      <c r="E19" s="36">
        <v>12722438</v>
      </c>
      <c r="F19" s="36">
        <v>5314612</v>
      </c>
      <c r="G19" s="36"/>
      <c r="H19" s="36">
        <v>6259831</v>
      </c>
      <c r="I19" s="36">
        <v>1432089</v>
      </c>
      <c r="J19" s="36">
        <v>8992937</v>
      </c>
      <c r="K19" s="36"/>
      <c r="L19" s="36">
        <v>105577842</v>
      </c>
      <c r="M19" s="36">
        <v>10671770</v>
      </c>
      <c r="N19" s="71"/>
      <c r="O19" s="71"/>
      <c r="P19" s="36">
        <v>1099565</v>
      </c>
      <c r="Q19" s="71"/>
      <c r="R19" s="71"/>
      <c r="S19" s="71"/>
      <c r="T19" s="36">
        <v>3821476</v>
      </c>
      <c r="U19" s="36">
        <v>10542800</v>
      </c>
      <c r="V19" s="71"/>
      <c r="W19" s="71"/>
      <c r="X19" s="36">
        <v>16516568</v>
      </c>
      <c r="Y19" s="36">
        <v>782480</v>
      </c>
      <c r="Z19" s="35">
        <f t="shared" si="2"/>
        <v>17299048</v>
      </c>
      <c r="AA19" s="39"/>
      <c r="AB19" s="71"/>
      <c r="AC19" s="71"/>
      <c r="AD19" s="36">
        <v>10673286</v>
      </c>
      <c r="AE19" s="39">
        <v>2719661</v>
      </c>
      <c r="AF19" s="36">
        <v>2440993</v>
      </c>
      <c r="AG19" s="36">
        <v>10656441</v>
      </c>
      <c r="AH19" s="36"/>
      <c r="AI19" s="36">
        <v>2256406</v>
      </c>
      <c r="AJ19" s="36">
        <v>4673312</v>
      </c>
      <c r="AK19" s="36">
        <v>373896</v>
      </c>
      <c r="AL19" s="36">
        <v>831043</v>
      </c>
      <c r="AM19" s="36">
        <v>0</v>
      </c>
      <c r="AN19" s="36">
        <v>973348</v>
      </c>
      <c r="AO19" s="36">
        <v>252038</v>
      </c>
      <c r="AP19" s="38">
        <f aca="true" t="shared" si="3" ref="AP19:AP35">AQ19-AR19</f>
        <v>5845078</v>
      </c>
      <c r="AQ19" s="112">
        <v>7353625</v>
      </c>
      <c r="AR19" s="113">
        <v>1508547</v>
      </c>
      <c r="AS19" s="46">
        <f t="shared" si="0"/>
        <v>199826298</v>
      </c>
      <c r="AT19" s="38">
        <f aca="true" t="shared" si="4" ref="AT19:AT35">SUM(AI19:AP19,Y19)</f>
        <v>15987601</v>
      </c>
      <c r="AU19" s="110">
        <f t="shared" si="1"/>
        <v>228911333</v>
      </c>
      <c r="AV19" s="20">
        <v>17496148</v>
      </c>
      <c r="AW19" s="109">
        <v>230419880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13.5" customHeight="1">
      <c r="A20" s="1">
        <v>1835</v>
      </c>
      <c r="B20" s="71"/>
      <c r="C20" s="71"/>
      <c r="D20" s="36">
        <v>3534419</v>
      </c>
      <c r="E20" s="36">
        <v>11253223</v>
      </c>
      <c r="F20" s="36">
        <v>6137587</v>
      </c>
      <c r="G20" s="36"/>
      <c r="H20" s="36">
        <v>5454886</v>
      </c>
      <c r="I20" s="36">
        <v>1798395</v>
      </c>
      <c r="J20" s="36">
        <v>10267502</v>
      </c>
      <c r="K20" s="36"/>
      <c r="L20" s="36">
        <v>90293377</v>
      </c>
      <c r="M20" s="36">
        <v>8280921</v>
      </c>
      <c r="N20" s="71"/>
      <c r="O20" s="71"/>
      <c r="P20" s="36">
        <v>3248626</v>
      </c>
      <c r="Q20" s="71"/>
      <c r="R20" s="71"/>
      <c r="S20" s="71"/>
      <c r="T20" s="36">
        <v>3438647</v>
      </c>
      <c r="U20" s="36">
        <v>10952587</v>
      </c>
      <c r="V20" s="71"/>
      <c r="W20" s="71"/>
      <c r="X20" s="36">
        <v>22967195</v>
      </c>
      <c r="Y20" s="36">
        <v>855400</v>
      </c>
      <c r="Z20" s="35">
        <f t="shared" si="2"/>
        <v>23822595</v>
      </c>
      <c r="AA20" s="39"/>
      <c r="AB20" s="71"/>
      <c r="AC20" s="71"/>
      <c r="AD20" s="36">
        <v>13030372</v>
      </c>
      <c r="AE20" s="39">
        <v>4781614</v>
      </c>
      <c r="AF20" s="36">
        <v>3140443</v>
      </c>
      <c r="AG20" s="36">
        <v>10547958</v>
      </c>
      <c r="AH20" s="36"/>
      <c r="AI20" s="36">
        <v>2299320</v>
      </c>
      <c r="AJ20" s="36">
        <v>4161648</v>
      </c>
      <c r="AK20" s="36">
        <v>405037</v>
      </c>
      <c r="AL20" s="36">
        <v>1081360</v>
      </c>
      <c r="AM20" s="36">
        <v>0</v>
      </c>
      <c r="AN20" s="36">
        <v>827926</v>
      </c>
      <c r="AO20" s="36">
        <v>1538626</v>
      </c>
      <c r="AP20" s="38">
        <f t="shared" si="3"/>
        <v>6414688</v>
      </c>
      <c r="AQ20" s="112">
        <v>7427369</v>
      </c>
      <c r="AR20" s="113">
        <v>1012681</v>
      </c>
      <c r="AS20" s="46">
        <f t="shared" si="0"/>
        <v>195439351</v>
      </c>
      <c r="AT20" s="38">
        <f t="shared" si="4"/>
        <v>17584005</v>
      </c>
      <c r="AU20" s="110">
        <f t="shared" si="1"/>
        <v>226711757</v>
      </c>
      <c r="AV20" s="20">
        <v>18596686</v>
      </c>
      <c r="AW20" s="109">
        <v>227724438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ht="13.5" customHeight="1">
      <c r="A21" s="1">
        <v>1836</v>
      </c>
      <c r="B21" s="71"/>
      <c r="C21" s="71"/>
      <c r="D21" s="36">
        <v>3606164</v>
      </c>
      <c r="E21" s="36">
        <v>13588982</v>
      </c>
      <c r="F21" s="36">
        <v>8049532</v>
      </c>
      <c r="G21" s="36"/>
      <c r="H21" s="36">
        <v>4170693</v>
      </c>
      <c r="I21" s="36">
        <v>3065074</v>
      </c>
      <c r="J21" s="36">
        <v>10484487</v>
      </c>
      <c r="K21" s="36"/>
      <c r="L21" s="36">
        <v>130366774</v>
      </c>
      <c r="M21" s="36">
        <v>10938288</v>
      </c>
      <c r="N21" s="71"/>
      <c r="O21" s="71"/>
      <c r="P21" s="36">
        <v>4107475</v>
      </c>
      <c r="Q21" s="71"/>
      <c r="R21" s="71"/>
      <c r="S21" s="71"/>
      <c r="T21" s="36">
        <v>11826150</v>
      </c>
      <c r="U21" s="36">
        <v>14947566</v>
      </c>
      <c r="V21" s="71"/>
      <c r="W21" s="71"/>
      <c r="X21" s="36">
        <v>17195410</v>
      </c>
      <c r="Y21" s="36">
        <v>997942</v>
      </c>
      <c r="Z21" s="35">
        <f t="shared" si="2"/>
        <v>18193352</v>
      </c>
      <c r="AA21" s="39"/>
      <c r="AB21" s="71"/>
      <c r="AC21" s="71"/>
      <c r="AD21" s="36">
        <v>16245857</v>
      </c>
      <c r="AE21" s="39">
        <v>1858623</v>
      </c>
      <c r="AF21" s="36">
        <v>3792773</v>
      </c>
      <c r="AG21" s="36">
        <v>8523947</v>
      </c>
      <c r="AH21" s="36"/>
      <c r="AI21" s="36">
        <v>3398949</v>
      </c>
      <c r="AJ21" s="36">
        <v>4307409</v>
      </c>
      <c r="AK21" s="36">
        <v>324566</v>
      </c>
      <c r="AL21" s="36">
        <v>1419656</v>
      </c>
      <c r="AM21" s="36">
        <v>1629335</v>
      </c>
      <c r="AN21" s="36">
        <v>14159</v>
      </c>
      <c r="AO21" s="36">
        <v>0</v>
      </c>
      <c r="AP21" s="38">
        <f t="shared" si="3"/>
        <v>7542432</v>
      </c>
      <c r="AQ21" s="112">
        <v>8888422</v>
      </c>
      <c r="AR21" s="113">
        <v>1345990</v>
      </c>
      <c r="AS21" s="46">
        <f t="shared" si="0"/>
        <v>250451075</v>
      </c>
      <c r="AT21" s="38">
        <f t="shared" si="4"/>
        <v>19634448</v>
      </c>
      <c r="AU21" s="110">
        <f t="shared" si="1"/>
        <v>282402243</v>
      </c>
      <c r="AV21" s="20">
        <v>20980438</v>
      </c>
      <c r="AW21" s="109">
        <v>283748233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13.5" customHeight="1">
      <c r="A22" s="1">
        <v>1837</v>
      </c>
      <c r="B22" s="71"/>
      <c r="C22" s="71"/>
      <c r="D22" s="36">
        <v>4411603</v>
      </c>
      <c r="E22" s="36">
        <v>15085827</v>
      </c>
      <c r="F22" s="36">
        <v>6842597</v>
      </c>
      <c r="G22" s="36"/>
      <c r="H22" s="36">
        <v>7252279</v>
      </c>
      <c r="I22" s="36">
        <v>2318570</v>
      </c>
      <c r="J22" s="36">
        <v>9893650</v>
      </c>
      <c r="K22" s="36"/>
      <c r="L22" s="36">
        <v>114010004</v>
      </c>
      <c r="M22" s="36">
        <v>10493090</v>
      </c>
      <c r="N22" s="71"/>
      <c r="O22" s="71"/>
      <c r="P22" s="36">
        <v>2749982</v>
      </c>
      <c r="Q22" s="71"/>
      <c r="R22" s="71"/>
      <c r="S22" s="71"/>
      <c r="T22" s="36">
        <v>15425435</v>
      </c>
      <c r="U22" s="36">
        <v>12461759</v>
      </c>
      <c r="V22" s="71"/>
      <c r="W22" s="71"/>
      <c r="X22" s="36">
        <v>15677075</v>
      </c>
      <c r="Y22" s="36">
        <v>1306824</v>
      </c>
      <c r="Z22" s="35">
        <f t="shared" si="2"/>
        <v>16983899</v>
      </c>
      <c r="AA22" s="39"/>
      <c r="AB22" s="71"/>
      <c r="AC22" s="71"/>
      <c r="AD22" s="36">
        <v>9216899</v>
      </c>
      <c r="AE22" s="39">
        <v>4501272</v>
      </c>
      <c r="AF22" s="36">
        <v>5882356</v>
      </c>
      <c r="AG22" s="36">
        <v>7839054</v>
      </c>
      <c r="AH22" s="36"/>
      <c r="AI22" s="36">
        <v>4117829</v>
      </c>
      <c r="AJ22" s="36">
        <v>3723987</v>
      </c>
      <c r="AK22" s="36">
        <v>0</v>
      </c>
      <c r="AL22" s="36">
        <v>1485395</v>
      </c>
      <c r="AM22" s="36">
        <v>1278482</v>
      </c>
      <c r="AN22" s="36">
        <v>59674</v>
      </c>
      <c r="AO22" s="36">
        <v>6074</v>
      </c>
      <c r="AP22" s="38">
        <f t="shared" si="3"/>
        <v>7422688</v>
      </c>
      <c r="AQ22" s="112">
        <v>8445443</v>
      </c>
      <c r="AR22" s="113">
        <v>1022755</v>
      </c>
      <c r="AS22" s="46">
        <f t="shared" si="0"/>
        <v>230340042</v>
      </c>
      <c r="AT22" s="38">
        <f t="shared" si="4"/>
        <v>19400953</v>
      </c>
      <c r="AU22" s="110">
        <f t="shared" si="1"/>
        <v>263462405</v>
      </c>
      <c r="AV22" s="20">
        <v>20423708</v>
      </c>
      <c r="AW22" s="109">
        <v>264485160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3.5" customHeight="1">
      <c r="A23" s="1">
        <v>1838</v>
      </c>
      <c r="B23" s="71"/>
      <c r="C23" s="71"/>
      <c r="D23" s="36">
        <v>5990742</v>
      </c>
      <c r="E23" s="36">
        <v>12263429</v>
      </c>
      <c r="F23" s="36">
        <v>5983832</v>
      </c>
      <c r="G23" s="36"/>
      <c r="H23" s="36">
        <v>2803472</v>
      </c>
      <c r="I23" s="36">
        <v>4524566</v>
      </c>
      <c r="J23" s="36">
        <v>16044494</v>
      </c>
      <c r="K23" s="36"/>
      <c r="L23" s="36">
        <v>85105717</v>
      </c>
      <c r="M23" s="36">
        <v>10384547</v>
      </c>
      <c r="N23" s="71"/>
      <c r="O23" s="71"/>
      <c r="P23" s="36">
        <v>3303744</v>
      </c>
      <c r="Q23" s="71"/>
      <c r="R23" s="71"/>
      <c r="S23" s="71"/>
      <c r="T23" s="36">
        <v>15983598</v>
      </c>
      <c r="U23" s="36">
        <v>13950710</v>
      </c>
      <c r="V23" s="71"/>
      <c r="W23" s="71"/>
      <c r="X23" s="36">
        <v>19640791</v>
      </c>
      <c r="Y23" s="36">
        <v>1439712</v>
      </c>
      <c r="Z23" s="35">
        <f t="shared" si="2"/>
        <v>21080503</v>
      </c>
      <c r="AA23" s="39"/>
      <c r="AB23" s="71"/>
      <c r="AC23" s="71"/>
      <c r="AD23" s="36">
        <v>3743800</v>
      </c>
      <c r="AE23" s="39">
        <v>81387709</v>
      </c>
      <c r="AF23" s="36">
        <v>3915854</v>
      </c>
      <c r="AG23" s="36">
        <v>9593577</v>
      </c>
      <c r="AH23" s="36"/>
      <c r="AI23" s="36">
        <v>3577987</v>
      </c>
      <c r="AJ23" s="36">
        <v>3439568</v>
      </c>
      <c r="AK23" s="36">
        <v>0</v>
      </c>
      <c r="AL23" s="36">
        <v>1181886</v>
      </c>
      <c r="AM23" s="36">
        <v>887875</v>
      </c>
      <c r="AN23" s="36">
        <v>40356</v>
      </c>
      <c r="AO23" s="36">
        <v>51666</v>
      </c>
      <c r="AP23" s="38">
        <f t="shared" si="3"/>
        <v>7668398</v>
      </c>
      <c r="AQ23" s="112">
        <v>8286055</v>
      </c>
      <c r="AR23" s="113">
        <v>617657</v>
      </c>
      <c r="AS23" s="46">
        <f t="shared" si="0"/>
        <v>281111151</v>
      </c>
      <c r="AT23" s="38">
        <f t="shared" si="4"/>
        <v>18287448</v>
      </c>
      <c r="AU23" s="110">
        <f t="shared" si="1"/>
        <v>312908030</v>
      </c>
      <c r="AV23" s="20">
        <v>18905105</v>
      </c>
      <c r="AW23" s="109">
        <v>313525687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13.5" customHeight="1">
      <c r="A24" s="1">
        <v>1839</v>
      </c>
      <c r="B24" s="71"/>
      <c r="C24" s="71"/>
      <c r="D24" s="36">
        <v>5406740</v>
      </c>
      <c r="E24" s="36">
        <v>17220200</v>
      </c>
      <c r="F24" s="36">
        <v>8118732</v>
      </c>
      <c r="G24" s="36"/>
      <c r="H24" s="36">
        <v>3039095</v>
      </c>
      <c r="I24" s="36">
        <v>8835619</v>
      </c>
      <c r="J24" s="36">
        <v>20255054</v>
      </c>
      <c r="K24" s="36"/>
      <c r="L24" s="36">
        <v>80191968</v>
      </c>
      <c r="M24" s="36">
        <v>13302286</v>
      </c>
      <c r="N24" s="71"/>
      <c r="O24" s="71"/>
      <c r="P24" s="36">
        <v>2871355</v>
      </c>
      <c r="Q24" s="71"/>
      <c r="R24" s="71"/>
      <c r="S24" s="71"/>
      <c r="T24" s="36">
        <v>22515155</v>
      </c>
      <c r="U24" s="36">
        <v>14465105</v>
      </c>
      <c r="V24" s="71"/>
      <c r="W24" s="71"/>
      <c r="X24" s="36">
        <v>20449935</v>
      </c>
      <c r="Y24" s="36">
        <v>1305578</v>
      </c>
      <c r="Z24" s="35">
        <f t="shared" si="2"/>
        <v>21755513</v>
      </c>
      <c r="AA24" s="39"/>
      <c r="AB24" s="71"/>
      <c r="AC24" s="71"/>
      <c r="AD24" s="36">
        <v>4235165</v>
      </c>
      <c r="AE24" s="39">
        <v>92171606</v>
      </c>
      <c r="AF24" s="36">
        <v>2901767</v>
      </c>
      <c r="AG24" s="36">
        <v>6994654</v>
      </c>
      <c r="AH24" s="36"/>
      <c r="AI24" s="36">
        <v>2413449</v>
      </c>
      <c r="AJ24" s="36">
        <v>3319270</v>
      </c>
      <c r="AK24" s="43"/>
      <c r="AL24" s="36">
        <v>1594041</v>
      </c>
      <c r="AM24" s="36">
        <v>829572</v>
      </c>
      <c r="AN24" s="36">
        <v>100977</v>
      </c>
      <c r="AO24" s="36">
        <v>280807</v>
      </c>
      <c r="AP24" s="38">
        <f t="shared" si="3"/>
        <v>8338528</v>
      </c>
      <c r="AQ24" s="112">
        <v>9080549</v>
      </c>
      <c r="AR24" s="113">
        <v>742021</v>
      </c>
      <c r="AS24" s="46">
        <f t="shared" si="0"/>
        <v>313078015</v>
      </c>
      <c r="AT24" s="38">
        <f t="shared" si="4"/>
        <v>18182222</v>
      </c>
      <c r="AU24" s="110">
        <f t="shared" si="1"/>
        <v>341156658</v>
      </c>
      <c r="AV24" s="20">
        <v>18924243</v>
      </c>
      <c r="AW24" s="109">
        <v>341898679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3.5" customHeight="1">
      <c r="A25" s="1">
        <v>1840</v>
      </c>
      <c r="B25" s="71"/>
      <c r="C25" s="71"/>
      <c r="D25" s="36">
        <v>1408408</v>
      </c>
      <c r="E25" s="36">
        <v>3995333</v>
      </c>
      <c r="F25" s="36">
        <v>2078515</v>
      </c>
      <c r="G25" s="36"/>
      <c r="H25" s="36">
        <v>1226717</v>
      </c>
      <c r="I25" s="36">
        <v>4184350</v>
      </c>
      <c r="J25" s="36">
        <v>3652619</v>
      </c>
      <c r="K25" s="43"/>
      <c r="L25" s="36">
        <v>38223639</v>
      </c>
      <c r="M25" s="36">
        <v>4573603</v>
      </c>
      <c r="N25" s="71"/>
      <c r="O25" s="71"/>
      <c r="P25" s="36">
        <v>914833</v>
      </c>
      <c r="Q25" s="71"/>
      <c r="R25" s="71"/>
      <c r="S25" s="71"/>
      <c r="T25" s="36">
        <v>4259693</v>
      </c>
      <c r="U25" s="36">
        <v>3632815</v>
      </c>
      <c r="V25" s="71"/>
      <c r="W25" s="71"/>
      <c r="X25" s="36">
        <v>4456753</v>
      </c>
      <c r="Y25" s="36">
        <v>372855</v>
      </c>
      <c r="Z25" s="35">
        <f t="shared" si="2"/>
        <v>4829608</v>
      </c>
      <c r="AA25" s="39"/>
      <c r="AB25" s="71"/>
      <c r="AC25" s="71"/>
      <c r="AD25" s="36">
        <v>2405605</v>
      </c>
      <c r="AE25" s="39">
        <v>1609704</v>
      </c>
      <c r="AF25" s="36">
        <v>992217</v>
      </c>
      <c r="AG25" s="36">
        <v>1914285</v>
      </c>
      <c r="AH25" s="36"/>
      <c r="AI25" s="36">
        <v>877112</v>
      </c>
      <c r="AJ25" s="36">
        <v>1007085</v>
      </c>
      <c r="AK25" s="36">
        <v>49943</v>
      </c>
      <c r="AL25" s="36">
        <v>422818</v>
      </c>
      <c r="AM25" s="36">
        <v>668946</v>
      </c>
      <c r="AN25" s="36">
        <v>22099</v>
      </c>
      <c r="AO25" s="36">
        <v>115</v>
      </c>
      <c r="AP25" s="38">
        <f t="shared" si="3"/>
        <v>2481379</v>
      </c>
      <c r="AQ25" s="112">
        <v>2687826</v>
      </c>
      <c r="AR25" s="113">
        <v>206447</v>
      </c>
      <c r="AS25" s="46">
        <f t="shared" si="0"/>
        <v>76622587</v>
      </c>
      <c r="AT25" s="38">
        <f t="shared" si="4"/>
        <v>5902352</v>
      </c>
      <c r="AU25" s="110">
        <f t="shared" si="1"/>
        <v>85431441</v>
      </c>
      <c r="AV25" s="20">
        <v>6108799</v>
      </c>
      <c r="AW25" s="109">
        <v>85637888</v>
      </c>
      <c r="AX25" s="2" t="s">
        <v>64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3.5" customHeight="1">
      <c r="A26" s="1">
        <v>1841</v>
      </c>
      <c r="B26" s="71"/>
      <c r="C26" s="71"/>
      <c r="D26" s="72">
        <v>1485614</v>
      </c>
      <c r="E26" s="36">
        <v>4056491</v>
      </c>
      <c r="F26" s="36">
        <v>2251079</v>
      </c>
      <c r="G26" s="36"/>
      <c r="H26" s="36">
        <v>1541119</v>
      </c>
      <c r="I26" s="36">
        <v>4941734</v>
      </c>
      <c r="J26" s="36">
        <v>4971572</v>
      </c>
      <c r="K26" s="36">
        <v>1089675</v>
      </c>
      <c r="L26" s="36">
        <v>33849820</v>
      </c>
      <c r="M26" s="36">
        <v>5931430</v>
      </c>
      <c r="N26" s="71"/>
      <c r="O26" s="71"/>
      <c r="P26" s="72">
        <v>605476</v>
      </c>
      <c r="Q26" s="36"/>
      <c r="R26" s="36"/>
      <c r="S26" s="36"/>
      <c r="T26" s="36">
        <v>2881008</v>
      </c>
      <c r="U26" s="36">
        <v>3378882</v>
      </c>
      <c r="V26" s="36"/>
      <c r="W26" s="36"/>
      <c r="X26" s="36">
        <v>4393042</v>
      </c>
      <c r="Y26" s="36">
        <v>450712</v>
      </c>
      <c r="Z26" s="35">
        <f t="shared" si="2"/>
        <v>4843754</v>
      </c>
      <c r="AA26" s="39"/>
      <c r="AB26" s="36"/>
      <c r="AC26" s="36"/>
      <c r="AD26" s="36">
        <v>2409074</v>
      </c>
      <c r="AE26" s="39">
        <v>1031147</v>
      </c>
      <c r="AF26" s="36">
        <v>1349192</v>
      </c>
      <c r="AG26" s="36">
        <v>2034739</v>
      </c>
      <c r="AH26" s="36"/>
      <c r="AI26" s="36">
        <v>755801</v>
      </c>
      <c r="AJ26" s="36">
        <v>1267161</v>
      </c>
      <c r="AK26" s="36">
        <v>237778</v>
      </c>
      <c r="AL26" s="36">
        <v>434897</v>
      </c>
      <c r="AM26" s="36">
        <v>649648</v>
      </c>
      <c r="AN26" s="36">
        <v>95357</v>
      </c>
      <c r="AO26" s="36">
        <v>2544</v>
      </c>
      <c r="AP26" s="38">
        <f t="shared" si="3"/>
        <v>7172323</v>
      </c>
      <c r="AQ26" s="112">
        <v>7671118</v>
      </c>
      <c r="AR26" s="113">
        <v>498795</v>
      </c>
      <c r="AS26" s="46">
        <f t="shared" si="0"/>
        <v>74817163</v>
      </c>
      <c r="AT26" s="38">
        <f t="shared" si="4"/>
        <v>11066221</v>
      </c>
      <c r="AU26" s="110">
        <f aca="true" t="shared" si="5" ref="AU26:AU34">AS26+AT26+AF26+AG26</f>
        <v>89267315</v>
      </c>
      <c r="AV26" s="20">
        <v>11565016</v>
      </c>
      <c r="AW26" s="109">
        <v>89766110</v>
      </c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3.5" customHeight="1">
      <c r="A27" s="1">
        <v>1842</v>
      </c>
      <c r="B27" s="71"/>
      <c r="C27" s="71"/>
      <c r="D27" s="72">
        <v>1263851</v>
      </c>
      <c r="E27" s="36">
        <v>3407682</v>
      </c>
      <c r="F27" s="36">
        <v>2452220</v>
      </c>
      <c r="G27" s="36"/>
      <c r="H27" s="36">
        <v>908325</v>
      </c>
      <c r="I27" s="36">
        <v>5299594</v>
      </c>
      <c r="J27" s="36">
        <v>4250521</v>
      </c>
      <c r="K27" s="36">
        <v>1174015</v>
      </c>
      <c r="L27" s="36">
        <v>33174204</v>
      </c>
      <c r="M27" s="36">
        <v>5831369</v>
      </c>
      <c r="N27" s="71"/>
      <c r="O27" s="71"/>
      <c r="P27" s="72">
        <v>505242</v>
      </c>
      <c r="Q27" s="36"/>
      <c r="R27" s="36"/>
      <c r="S27" s="36"/>
      <c r="T27" s="36">
        <v>2600411</v>
      </c>
      <c r="U27" s="36">
        <v>3981627</v>
      </c>
      <c r="V27" s="36"/>
      <c r="W27" s="43"/>
      <c r="X27" s="36">
        <v>4382677</v>
      </c>
      <c r="Y27" s="36">
        <v>373389</v>
      </c>
      <c r="Z27" s="35">
        <f t="shared" si="2"/>
        <v>4756066</v>
      </c>
      <c r="AA27" s="39"/>
      <c r="AB27" s="36"/>
      <c r="AC27" s="36"/>
      <c r="AD27" s="36">
        <v>1597078</v>
      </c>
      <c r="AE27" s="39">
        <v>1433358</v>
      </c>
      <c r="AF27" s="36">
        <v>971951</v>
      </c>
      <c r="AG27" s="36">
        <v>1810387</v>
      </c>
      <c r="AH27" s="36"/>
      <c r="AI27" s="36">
        <v>865328</v>
      </c>
      <c r="AJ27" s="36">
        <v>1341634</v>
      </c>
      <c r="AK27" s="36">
        <v>201196</v>
      </c>
      <c r="AL27" s="36">
        <v>349412</v>
      </c>
      <c r="AM27" s="36">
        <v>308373</v>
      </c>
      <c r="AN27" s="36">
        <v>22281</v>
      </c>
      <c r="AO27" s="36">
        <v>353</v>
      </c>
      <c r="AP27" s="38">
        <f t="shared" si="3"/>
        <v>6501196</v>
      </c>
      <c r="AQ27" s="112">
        <v>6851728</v>
      </c>
      <c r="AR27" s="113">
        <v>350532</v>
      </c>
      <c r="AS27" s="46">
        <f t="shared" si="0"/>
        <v>72262174</v>
      </c>
      <c r="AT27" s="38">
        <f t="shared" si="4"/>
        <v>9963162</v>
      </c>
      <c r="AU27" s="110">
        <f t="shared" si="5"/>
        <v>85007674</v>
      </c>
      <c r="AV27" s="20">
        <v>10313694</v>
      </c>
      <c r="AW27" s="109">
        <v>85358206</v>
      </c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3.5" customHeight="1">
      <c r="A28" s="1">
        <v>1843</v>
      </c>
      <c r="B28" s="71"/>
      <c r="C28" s="71"/>
      <c r="D28" s="72">
        <v>1152455</v>
      </c>
      <c r="E28" s="36">
        <v>5199125</v>
      </c>
      <c r="F28" s="36">
        <v>2992492</v>
      </c>
      <c r="G28" s="36"/>
      <c r="H28" s="36">
        <v>1064968</v>
      </c>
      <c r="I28" s="36">
        <v>6088122</v>
      </c>
      <c r="J28" s="36">
        <v>3206737</v>
      </c>
      <c r="K28" s="36">
        <v>2350639</v>
      </c>
      <c r="L28" s="36">
        <v>28475904</v>
      </c>
      <c r="M28" s="36">
        <v>6388305</v>
      </c>
      <c r="N28" s="71"/>
      <c r="O28" s="71"/>
      <c r="P28" s="72">
        <v>855690</v>
      </c>
      <c r="Q28" s="36"/>
      <c r="R28" s="36"/>
      <c r="S28" s="36"/>
      <c r="T28" s="36">
        <v>4071495</v>
      </c>
      <c r="U28" s="36">
        <v>4231990</v>
      </c>
      <c r="V28" s="36"/>
      <c r="W28" s="36">
        <v>41485</v>
      </c>
      <c r="X28" s="36">
        <v>3436037</v>
      </c>
      <c r="Y28" s="36">
        <v>321908</v>
      </c>
      <c r="Z28" s="35">
        <f t="shared" si="2"/>
        <v>3757945</v>
      </c>
      <c r="AA28" s="39"/>
      <c r="AB28" s="36"/>
      <c r="AC28" s="36"/>
      <c r="AD28" s="36">
        <v>1402527</v>
      </c>
      <c r="AE28" s="39">
        <v>251515</v>
      </c>
      <c r="AF28" s="36">
        <v>1161071</v>
      </c>
      <c r="AG28" s="36">
        <v>1980901</v>
      </c>
      <c r="AH28" s="36"/>
      <c r="AI28" s="36">
        <v>778116</v>
      </c>
      <c r="AJ28" s="36">
        <v>1191872</v>
      </c>
      <c r="AK28" s="36">
        <v>116664</v>
      </c>
      <c r="AL28" s="36">
        <v>290058</v>
      </c>
      <c r="AM28" s="36">
        <v>316981</v>
      </c>
      <c r="AN28" s="36">
        <v>22561</v>
      </c>
      <c r="AO28" s="36">
        <v>931</v>
      </c>
      <c r="AP28" s="38">
        <f t="shared" si="3"/>
        <v>4858055</v>
      </c>
      <c r="AQ28" s="112">
        <v>5175051</v>
      </c>
      <c r="AR28" s="113">
        <v>316996</v>
      </c>
      <c r="AS28" s="46">
        <f t="shared" si="0"/>
        <v>71209486</v>
      </c>
      <c r="AT28" s="38">
        <f t="shared" si="4"/>
        <v>7897146</v>
      </c>
      <c r="AU28" s="110">
        <f t="shared" si="5"/>
        <v>82248604</v>
      </c>
      <c r="AV28" s="20">
        <v>8214142</v>
      </c>
      <c r="AW28" s="109">
        <v>82565600</v>
      </c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3.5" customHeight="1">
      <c r="A29" s="1">
        <v>1844</v>
      </c>
      <c r="B29" s="43"/>
      <c r="C29" s="43"/>
      <c r="D29" s="72">
        <v>1137657</v>
      </c>
      <c r="E29" s="36">
        <v>6446940</v>
      </c>
      <c r="F29" s="36">
        <v>1915819</v>
      </c>
      <c r="G29" s="36"/>
      <c r="H29" s="36">
        <v>2509349</v>
      </c>
      <c r="I29" s="36">
        <v>7212189</v>
      </c>
      <c r="J29" s="36">
        <v>3333021</v>
      </c>
      <c r="K29" s="36">
        <v>2343656</v>
      </c>
      <c r="L29" s="36">
        <v>31874069</v>
      </c>
      <c r="M29" s="36">
        <v>6384272</v>
      </c>
      <c r="N29" s="43"/>
      <c r="O29" s="43"/>
      <c r="P29" s="72">
        <v>491375</v>
      </c>
      <c r="Q29" s="36"/>
      <c r="R29" s="36"/>
      <c r="S29" s="36"/>
      <c r="T29" s="36">
        <v>4732498</v>
      </c>
      <c r="U29" s="36">
        <v>4211024</v>
      </c>
      <c r="V29" s="43"/>
      <c r="W29" s="36">
        <v>81575</v>
      </c>
      <c r="X29" s="36">
        <v>5525273</v>
      </c>
      <c r="Y29" s="36">
        <v>460030</v>
      </c>
      <c r="Z29" s="35">
        <f t="shared" si="2"/>
        <v>5985303</v>
      </c>
      <c r="AA29" s="39"/>
      <c r="AB29" s="36"/>
      <c r="AC29" s="36"/>
      <c r="AD29" s="36">
        <v>1969745</v>
      </c>
      <c r="AE29" s="39">
        <v>346357</v>
      </c>
      <c r="AF29" s="36">
        <v>1451005</v>
      </c>
      <c r="AG29" s="36">
        <v>1994393</v>
      </c>
      <c r="AH29" s="36"/>
      <c r="AI29" s="36">
        <v>819273</v>
      </c>
      <c r="AJ29" s="36">
        <v>1227318</v>
      </c>
      <c r="AK29" s="36">
        <v>276151</v>
      </c>
      <c r="AL29" s="36">
        <v>375732</v>
      </c>
      <c r="AM29" s="36">
        <v>479287</v>
      </c>
      <c r="AN29" s="36">
        <v>22807</v>
      </c>
      <c r="AO29" s="36">
        <v>7600</v>
      </c>
      <c r="AP29" s="38">
        <f t="shared" si="3"/>
        <v>5753132</v>
      </c>
      <c r="AQ29" s="112">
        <v>6047468</v>
      </c>
      <c r="AR29" s="113">
        <v>294336</v>
      </c>
      <c r="AS29" s="46">
        <f t="shared" si="0"/>
        <v>80514819</v>
      </c>
      <c r="AT29" s="38">
        <f t="shared" si="4"/>
        <v>9421330</v>
      </c>
      <c r="AU29" s="110">
        <f t="shared" si="5"/>
        <v>93381547</v>
      </c>
      <c r="AV29" s="20">
        <v>9715666</v>
      </c>
      <c r="AW29" s="109">
        <v>93675883</v>
      </c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3.5" customHeight="1">
      <c r="A30" s="1">
        <v>1845</v>
      </c>
      <c r="B30" s="36">
        <v>1069766</v>
      </c>
      <c r="C30" s="36">
        <v>342238</v>
      </c>
      <c r="D30" s="43"/>
      <c r="E30" s="36">
        <v>4170436</v>
      </c>
      <c r="F30" s="36">
        <v>2018433</v>
      </c>
      <c r="G30" s="36"/>
      <c r="H30" s="36">
        <v>1239549</v>
      </c>
      <c r="I30" s="36">
        <v>7930134</v>
      </c>
      <c r="J30" s="36">
        <v>2953061</v>
      </c>
      <c r="K30" s="36">
        <v>2980533</v>
      </c>
      <c r="L30" s="36">
        <v>30925698</v>
      </c>
      <c r="M30" s="36">
        <v>6450334</v>
      </c>
      <c r="N30" s="36">
        <v>411078</v>
      </c>
      <c r="O30" s="36">
        <v>113189</v>
      </c>
      <c r="P30" s="43"/>
      <c r="Q30" s="43"/>
      <c r="R30" s="43"/>
      <c r="S30" s="43"/>
      <c r="T30" s="36">
        <v>6279573</v>
      </c>
      <c r="U30" s="36">
        <v>3659191</v>
      </c>
      <c r="V30" s="39">
        <v>137067</v>
      </c>
      <c r="W30" s="36">
        <v>79334</v>
      </c>
      <c r="X30" s="36">
        <v>5119805</v>
      </c>
      <c r="Y30" s="36">
        <v>469754</v>
      </c>
      <c r="Z30" s="35">
        <f t="shared" si="2"/>
        <v>5589559</v>
      </c>
      <c r="AA30" s="39"/>
      <c r="AB30" s="43"/>
      <c r="AC30" s="43"/>
      <c r="AD30" s="36">
        <v>2605959</v>
      </c>
      <c r="AE30" s="39">
        <v>317032</v>
      </c>
      <c r="AF30" s="36">
        <v>1321989</v>
      </c>
      <c r="AG30" s="36">
        <v>2295008</v>
      </c>
      <c r="AH30" s="36"/>
      <c r="AI30" s="36">
        <v>583520</v>
      </c>
      <c r="AJ30" s="36">
        <v>1171524</v>
      </c>
      <c r="AK30" s="36">
        <v>162039</v>
      </c>
      <c r="AL30" s="36">
        <v>372439</v>
      </c>
      <c r="AM30" s="36">
        <v>321285</v>
      </c>
      <c r="AN30" s="36">
        <v>13544</v>
      </c>
      <c r="AO30" s="36">
        <v>4333</v>
      </c>
      <c r="AP30" s="38">
        <f t="shared" si="3"/>
        <v>6662495</v>
      </c>
      <c r="AQ30" s="112">
        <v>7049500</v>
      </c>
      <c r="AR30" s="113">
        <v>387005</v>
      </c>
      <c r="AS30" s="46">
        <f t="shared" si="0"/>
        <v>78802410</v>
      </c>
      <c r="AT30" s="38">
        <f t="shared" si="4"/>
        <v>9760933</v>
      </c>
      <c r="AU30" s="110">
        <f t="shared" si="5"/>
        <v>92180340</v>
      </c>
      <c r="AV30" s="20">
        <v>10147938</v>
      </c>
      <c r="AW30" s="109">
        <v>92567345</v>
      </c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3.5" customHeight="1">
      <c r="A31" s="1">
        <v>1846</v>
      </c>
      <c r="B31" s="36">
        <v>1161823</v>
      </c>
      <c r="C31" s="36">
        <v>372241</v>
      </c>
      <c r="D31" s="36"/>
      <c r="E31" s="36">
        <v>4713301</v>
      </c>
      <c r="F31" s="36">
        <v>2437135</v>
      </c>
      <c r="G31" s="36"/>
      <c r="H31" s="36">
        <v>1966138</v>
      </c>
      <c r="I31" s="36">
        <v>8006966</v>
      </c>
      <c r="J31" s="36">
        <v>6498785</v>
      </c>
      <c r="K31" s="36">
        <v>2433998</v>
      </c>
      <c r="L31" s="36">
        <v>34148516</v>
      </c>
      <c r="M31" s="36">
        <v>9588162</v>
      </c>
      <c r="N31" s="36">
        <v>342136</v>
      </c>
      <c r="O31" s="36">
        <v>56871</v>
      </c>
      <c r="P31" s="36"/>
      <c r="Q31" s="36">
        <v>2997769</v>
      </c>
      <c r="R31" s="36">
        <v>2674512</v>
      </c>
      <c r="S31" s="36">
        <v>158619</v>
      </c>
      <c r="T31" s="43"/>
      <c r="U31" s="36">
        <v>3999048</v>
      </c>
      <c r="V31" s="39">
        <v>91404</v>
      </c>
      <c r="W31" s="36">
        <v>16170</v>
      </c>
      <c r="X31" s="36">
        <v>4502653</v>
      </c>
      <c r="Y31" s="36">
        <v>519544</v>
      </c>
      <c r="Z31" s="35">
        <f t="shared" si="2"/>
        <v>5022197</v>
      </c>
      <c r="AA31" s="39"/>
      <c r="AB31" s="36">
        <v>1905151</v>
      </c>
      <c r="AC31" s="36">
        <v>0</v>
      </c>
      <c r="AD31" s="43"/>
      <c r="AE31" s="39">
        <v>321570</v>
      </c>
      <c r="AF31" s="36">
        <v>1493887</v>
      </c>
      <c r="AG31" s="36">
        <v>2339930</v>
      </c>
      <c r="AH31" s="36"/>
      <c r="AI31" s="36">
        <v>530777</v>
      </c>
      <c r="AJ31" s="36">
        <v>1252691</v>
      </c>
      <c r="AK31" s="36">
        <v>289659</v>
      </c>
      <c r="AL31" s="36">
        <v>380656</v>
      </c>
      <c r="AM31" s="36">
        <v>284815</v>
      </c>
      <c r="AN31" s="36">
        <v>7329</v>
      </c>
      <c r="AO31" s="34">
        <v>0</v>
      </c>
      <c r="AP31" s="38">
        <f t="shared" si="3"/>
        <v>6914216</v>
      </c>
      <c r="AQ31" s="112">
        <v>7222522</v>
      </c>
      <c r="AR31" s="113">
        <v>308306</v>
      </c>
      <c r="AS31" s="46">
        <f t="shared" si="0"/>
        <v>88392968</v>
      </c>
      <c r="AT31" s="38">
        <f t="shared" si="4"/>
        <v>10179687</v>
      </c>
      <c r="AU31" s="110">
        <f t="shared" si="5"/>
        <v>102406472</v>
      </c>
      <c r="AV31" s="20">
        <v>10487993</v>
      </c>
      <c r="AW31" s="109">
        <v>102714778</v>
      </c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3.5" customHeight="1">
      <c r="A32" s="1">
        <v>1847</v>
      </c>
      <c r="B32" s="36">
        <v>1297211</v>
      </c>
      <c r="C32" s="36">
        <v>497659</v>
      </c>
      <c r="D32" s="36"/>
      <c r="E32" s="36">
        <v>10710147</v>
      </c>
      <c r="F32" s="36">
        <v>3431353</v>
      </c>
      <c r="G32" s="36"/>
      <c r="H32" s="36">
        <v>5095972</v>
      </c>
      <c r="I32" s="36">
        <v>13584253</v>
      </c>
      <c r="J32" s="36">
        <v>7500848</v>
      </c>
      <c r="K32" s="36">
        <v>3693581</v>
      </c>
      <c r="L32" s="36">
        <v>46507461</v>
      </c>
      <c r="M32" s="36">
        <v>20984350</v>
      </c>
      <c r="N32" s="36">
        <v>195280</v>
      </c>
      <c r="O32" s="36">
        <v>150056</v>
      </c>
      <c r="P32" s="36"/>
      <c r="Q32" s="36">
        <v>2979717</v>
      </c>
      <c r="R32" s="36">
        <v>2554115</v>
      </c>
      <c r="S32" s="36">
        <v>640839</v>
      </c>
      <c r="T32" s="43"/>
      <c r="U32" s="36">
        <v>4790355</v>
      </c>
      <c r="V32" s="39">
        <v>115915</v>
      </c>
      <c r="W32" s="36">
        <v>105892</v>
      </c>
      <c r="X32" s="36">
        <v>6308995</v>
      </c>
      <c r="Y32" s="36">
        <v>558990</v>
      </c>
      <c r="Z32" s="35">
        <f t="shared" si="2"/>
        <v>6867985</v>
      </c>
      <c r="AA32" s="39"/>
      <c r="AB32" s="36">
        <v>2142339</v>
      </c>
      <c r="AC32" s="36">
        <v>4641</v>
      </c>
      <c r="AD32" s="36"/>
      <c r="AE32" s="39">
        <v>821430</v>
      </c>
      <c r="AF32" s="36">
        <v>1155322</v>
      </c>
      <c r="AG32" s="36">
        <v>2835182</v>
      </c>
      <c r="AH32" s="36"/>
      <c r="AI32" s="36">
        <v>656518</v>
      </c>
      <c r="AJ32" s="36">
        <v>1477590</v>
      </c>
      <c r="AK32" s="36">
        <v>216656</v>
      </c>
      <c r="AL32" s="36">
        <v>367340</v>
      </c>
      <c r="AM32" s="36">
        <v>269539</v>
      </c>
      <c r="AN32" s="36">
        <v>16350</v>
      </c>
      <c r="AO32" s="34">
        <v>0</v>
      </c>
      <c r="AP32" s="38">
        <f t="shared" si="3"/>
        <v>6646470</v>
      </c>
      <c r="AQ32" s="112">
        <v>6974728</v>
      </c>
      <c r="AR32" s="113">
        <v>328258</v>
      </c>
      <c r="AS32" s="46">
        <f t="shared" si="0"/>
        <v>134112409</v>
      </c>
      <c r="AT32" s="38">
        <f t="shared" si="4"/>
        <v>10209453</v>
      </c>
      <c r="AU32" s="110">
        <f t="shared" si="5"/>
        <v>148312366</v>
      </c>
      <c r="AV32" s="20">
        <v>10537711</v>
      </c>
      <c r="AW32" s="109">
        <v>148640624</v>
      </c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3.5" customHeight="1">
      <c r="A33" s="1">
        <v>1848</v>
      </c>
      <c r="B33" s="36">
        <v>984276</v>
      </c>
      <c r="C33" s="36">
        <v>299250</v>
      </c>
      <c r="D33" s="36"/>
      <c r="E33" s="36">
        <v>3344459</v>
      </c>
      <c r="F33" s="36">
        <v>1548606</v>
      </c>
      <c r="G33" s="36"/>
      <c r="H33" s="36">
        <v>965691</v>
      </c>
      <c r="I33" s="36">
        <v>5221467</v>
      </c>
      <c r="J33" s="36">
        <v>2801994</v>
      </c>
      <c r="K33" s="36">
        <v>805227</v>
      </c>
      <c r="L33" s="36">
        <v>39943212</v>
      </c>
      <c r="M33" s="36">
        <v>3192859</v>
      </c>
      <c r="N33" s="36">
        <v>497922</v>
      </c>
      <c r="O33" s="36">
        <v>123538</v>
      </c>
      <c r="P33" s="36"/>
      <c r="Q33" s="36">
        <v>2499738</v>
      </c>
      <c r="R33" s="36">
        <v>2173242</v>
      </c>
      <c r="S33" s="36">
        <v>14608</v>
      </c>
      <c r="T33" s="43"/>
      <c r="U33" s="36">
        <v>3262404</v>
      </c>
      <c r="V33" s="39">
        <v>55022</v>
      </c>
      <c r="W33" s="36">
        <v>175947</v>
      </c>
      <c r="X33" s="36">
        <v>6169283</v>
      </c>
      <c r="Y33" s="36">
        <v>480582</v>
      </c>
      <c r="Z33" s="35">
        <f t="shared" si="2"/>
        <v>6649865</v>
      </c>
      <c r="AA33" s="39"/>
      <c r="AB33" s="36">
        <v>1428820</v>
      </c>
      <c r="AC33" s="36">
        <v>100587</v>
      </c>
      <c r="AD33" s="36"/>
      <c r="AE33" s="39">
        <v>329552</v>
      </c>
      <c r="AF33" s="36">
        <v>1152204</v>
      </c>
      <c r="AG33" s="36">
        <v>2602509</v>
      </c>
      <c r="AH33" s="36"/>
      <c r="AI33" s="36">
        <v>655455</v>
      </c>
      <c r="AJ33" s="36">
        <v>1503418</v>
      </c>
      <c r="AK33" s="36">
        <v>40075</v>
      </c>
      <c r="AL33" s="36">
        <v>247289</v>
      </c>
      <c r="AM33" s="36">
        <v>244449</v>
      </c>
      <c r="AN33" s="36">
        <v>4644</v>
      </c>
      <c r="AO33" s="34">
        <v>0</v>
      </c>
      <c r="AP33" s="38">
        <f t="shared" si="3"/>
        <v>5127042</v>
      </c>
      <c r="AQ33" s="112">
        <v>5468520</v>
      </c>
      <c r="AR33" s="113">
        <v>341478</v>
      </c>
      <c r="AS33" s="35">
        <f>SUM(B33:X33,AA33:AE33)</f>
        <v>75937704</v>
      </c>
      <c r="AT33" s="38">
        <f t="shared" si="4"/>
        <v>8302954</v>
      </c>
      <c r="AU33" s="110">
        <f t="shared" si="5"/>
        <v>87995371</v>
      </c>
      <c r="AV33" s="20">
        <v>8644432</v>
      </c>
      <c r="AW33" s="109">
        <v>88336849</v>
      </c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ht="13.5" customHeight="1">
      <c r="A34" s="1">
        <v>1849</v>
      </c>
      <c r="B34" s="36">
        <v>1261692</v>
      </c>
      <c r="C34" s="36">
        <v>361989</v>
      </c>
      <c r="D34" s="36"/>
      <c r="E34" s="36">
        <v>4356100</v>
      </c>
      <c r="F34" s="36">
        <v>1657258</v>
      </c>
      <c r="G34" s="36"/>
      <c r="H34" s="36">
        <v>1437828</v>
      </c>
      <c r="I34" s="36">
        <v>6068165</v>
      </c>
      <c r="J34" s="36">
        <v>4283616</v>
      </c>
      <c r="K34" s="36">
        <v>1550913</v>
      </c>
      <c r="L34" s="36">
        <v>40547780</v>
      </c>
      <c r="M34" s="36">
        <v>4557230</v>
      </c>
      <c r="N34" s="36">
        <v>434740</v>
      </c>
      <c r="O34" s="36">
        <v>69719</v>
      </c>
      <c r="P34" s="36"/>
      <c r="Q34" s="36">
        <v>2147150</v>
      </c>
      <c r="R34" s="36">
        <v>1208416</v>
      </c>
      <c r="S34" s="36">
        <v>147467</v>
      </c>
      <c r="T34" s="43"/>
      <c r="U34" s="36">
        <v>5133385</v>
      </c>
      <c r="V34" s="39">
        <v>71354</v>
      </c>
      <c r="W34" s="36">
        <v>64124</v>
      </c>
      <c r="X34" s="36">
        <v>5144673</v>
      </c>
      <c r="Y34" s="36">
        <v>467885</v>
      </c>
      <c r="Z34" s="35">
        <f t="shared" si="2"/>
        <v>5612558</v>
      </c>
      <c r="AA34" s="39"/>
      <c r="AB34" s="36">
        <v>2511445</v>
      </c>
      <c r="AC34" s="36">
        <v>18246</v>
      </c>
      <c r="AD34" s="36"/>
      <c r="AE34" s="39">
        <v>347710</v>
      </c>
      <c r="AF34" s="36">
        <v>1401394</v>
      </c>
      <c r="AG34" s="36">
        <v>2286998</v>
      </c>
      <c r="AH34" s="36"/>
      <c r="AI34" s="36">
        <v>674162</v>
      </c>
      <c r="AJ34" s="36">
        <v>1556802</v>
      </c>
      <c r="AK34" s="36">
        <v>93004</v>
      </c>
      <c r="AL34" s="36">
        <v>369187</v>
      </c>
      <c r="AM34" s="36">
        <v>474939</v>
      </c>
      <c r="AN34" s="36">
        <v>13675</v>
      </c>
      <c r="AO34" s="34">
        <v>0</v>
      </c>
      <c r="AP34" s="38">
        <f t="shared" si="3"/>
        <v>5177852</v>
      </c>
      <c r="AQ34" s="112">
        <v>5369541</v>
      </c>
      <c r="AR34" s="113">
        <v>191689</v>
      </c>
      <c r="AS34" s="46">
        <f aca="true" t="shared" si="6" ref="AS34:AS43">SUM(B34:X34,AA34:AE34)</f>
        <v>83381000</v>
      </c>
      <c r="AT34" s="38">
        <f t="shared" si="4"/>
        <v>8827506</v>
      </c>
      <c r="AU34" s="110">
        <f t="shared" si="5"/>
        <v>95896898</v>
      </c>
      <c r="AV34" s="20">
        <v>9019195</v>
      </c>
      <c r="AW34" s="109">
        <v>96088587</v>
      </c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25" customFormat="1" ht="13.5" customHeight="1">
      <c r="A35" s="30">
        <v>1850</v>
      </c>
      <c r="B35" s="115">
        <v>1150347</v>
      </c>
      <c r="C35" s="36">
        <v>355470</v>
      </c>
      <c r="D35" s="36"/>
      <c r="E35" s="36">
        <v>5259445</v>
      </c>
      <c r="F35" s="36">
        <v>1354399</v>
      </c>
      <c r="G35" s="36"/>
      <c r="H35" s="36">
        <v>1707950</v>
      </c>
      <c r="I35" s="36">
        <v>5229872</v>
      </c>
      <c r="J35" s="36">
        <v>4100933</v>
      </c>
      <c r="K35" s="36">
        <v>1235234</v>
      </c>
      <c r="L35" s="36">
        <v>41531727</v>
      </c>
      <c r="M35" s="36">
        <v>4150645</v>
      </c>
      <c r="N35" s="36">
        <v>347923</v>
      </c>
      <c r="O35" s="36">
        <v>18455</v>
      </c>
      <c r="P35" s="36"/>
      <c r="Q35" s="36">
        <v>1775827</v>
      </c>
      <c r="R35" s="36">
        <v>1302095</v>
      </c>
      <c r="S35" s="36">
        <v>234545</v>
      </c>
      <c r="T35" s="43"/>
      <c r="U35" s="36">
        <v>4576047</v>
      </c>
      <c r="V35" s="39">
        <v>18529</v>
      </c>
      <c r="W35" s="36">
        <v>23161</v>
      </c>
      <c r="X35" s="36">
        <v>6193508</v>
      </c>
      <c r="Y35" s="36">
        <v>606023</v>
      </c>
      <c r="Z35" s="35">
        <f t="shared" si="2"/>
        <v>6799531</v>
      </c>
      <c r="AA35" s="39"/>
      <c r="AB35" s="36">
        <v>2321950</v>
      </c>
      <c r="AC35" s="36">
        <v>0</v>
      </c>
      <c r="AD35" s="36"/>
      <c r="AE35" s="39">
        <v>245886</v>
      </c>
      <c r="AF35" s="36">
        <v>1779920</v>
      </c>
      <c r="AG35" s="36">
        <v>2311350</v>
      </c>
      <c r="AH35" s="36"/>
      <c r="AI35" s="36">
        <v>906805</v>
      </c>
      <c r="AJ35" s="36">
        <v>1771260</v>
      </c>
      <c r="AK35" s="36">
        <v>149922</v>
      </c>
      <c r="AL35" s="36">
        <v>357243</v>
      </c>
      <c r="AM35" s="36">
        <v>292024</v>
      </c>
      <c r="AN35" s="36">
        <v>12090</v>
      </c>
      <c r="AO35" s="34">
        <v>0</v>
      </c>
      <c r="AP35" s="38">
        <f t="shared" si="3"/>
        <v>6798309</v>
      </c>
      <c r="AQ35" s="112">
        <v>7127587</v>
      </c>
      <c r="AR35" s="113">
        <v>329278</v>
      </c>
      <c r="AS35" s="46">
        <f t="shared" si="6"/>
        <v>83133948</v>
      </c>
      <c r="AT35" s="38">
        <f t="shared" si="4"/>
        <v>10893676</v>
      </c>
      <c r="AU35" s="110">
        <f>AS35+AT35+AF35+AG35</f>
        <v>98118894</v>
      </c>
      <c r="AV35" s="20">
        <v>11222954</v>
      </c>
      <c r="AW35" s="109">
        <v>98448172</v>
      </c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</row>
    <row r="36" spans="1:82" s="25" customFormat="1" ht="13.5" customHeight="1">
      <c r="A36" s="30">
        <v>1851</v>
      </c>
      <c r="B36" s="115">
        <v>1670084</v>
      </c>
      <c r="C36" s="36">
        <v>398515</v>
      </c>
      <c r="D36" s="36"/>
      <c r="E36" s="36">
        <v>8751101</v>
      </c>
      <c r="F36" s="36">
        <v>1537606</v>
      </c>
      <c r="G36" s="36"/>
      <c r="H36" s="36">
        <v>1256281</v>
      </c>
      <c r="I36" s="36">
        <v>5377057</v>
      </c>
      <c r="J36" s="36">
        <v>5020298</v>
      </c>
      <c r="K36" s="36">
        <v>1535011</v>
      </c>
      <c r="L36" s="36">
        <v>39103804</v>
      </c>
      <c r="M36" s="36">
        <v>2610778</v>
      </c>
      <c r="N36" s="36">
        <v>492642</v>
      </c>
      <c r="O36" s="36">
        <v>97359</v>
      </c>
      <c r="P36" s="36"/>
      <c r="Q36" s="36">
        <v>1470096</v>
      </c>
      <c r="R36" s="36">
        <v>1024237</v>
      </c>
      <c r="S36" s="36">
        <v>214161</v>
      </c>
      <c r="T36" s="43"/>
      <c r="U36" s="36">
        <v>4800389</v>
      </c>
      <c r="V36" s="39">
        <v>114960</v>
      </c>
      <c r="W36" s="36">
        <v>91653</v>
      </c>
      <c r="X36" s="36">
        <v>6102441</v>
      </c>
      <c r="Y36" s="36">
        <v>656026</v>
      </c>
      <c r="Z36" s="35">
        <f t="shared" si="2"/>
        <v>6758467</v>
      </c>
      <c r="AA36" s="39"/>
      <c r="AB36" s="36">
        <v>2091178</v>
      </c>
      <c r="AC36" s="36">
        <v>0</v>
      </c>
      <c r="AD36" s="36"/>
      <c r="AE36" s="39">
        <v>313952</v>
      </c>
      <c r="AF36" s="36">
        <v>2180561</v>
      </c>
      <c r="AG36" s="43"/>
      <c r="AH36" s="36"/>
      <c r="AI36" s="36">
        <v>886135</v>
      </c>
      <c r="AJ36" s="36">
        <v>1703864</v>
      </c>
      <c r="AK36" s="36">
        <v>50802</v>
      </c>
      <c r="AL36" s="36">
        <v>360416</v>
      </c>
      <c r="AM36" s="36">
        <v>370776</v>
      </c>
      <c r="AN36" s="36">
        <v>56603</v>
      </c>
      <c r="AO36" s="34">
        <v>0</v>
      </c>
      <c r="AP36" s="36">
        <v>7055671</v>
      </c>
      <c r="AQ36" s="43"/>
      <c r="AR36" s="43"/>
      <c r="AS36" s="46">
        <f t="shared" si="6"/>
        <v>84073603</v>
      </c>
      <c r="AT36" s="35">
        <f>SUM(AI36:AP36,Y36)</f>
        <v>11140293</v>
      </c>
      <c r="AU36" s="70">
        <f aca="true" t="shared" si="7" ref="AU36:AU47">AS36+AT36+AF36</f>
        <v>97394457</v>
      </c>
      <c r="AV36" s="107"/>
      <c r="AW36" s="107"/>
      <c r="AX36" s="21" t="s">
        <v>136</v>
      </c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</row>
    <row r="37" spans="1:82" ht="13.5" customHeight="1">
      <c r="A37" s="1">
        <v>1852</v>
      </c>
      <c r="B37" s="34">
        <v>1917822</v>
      </c>
      <c r="C37" s="34">
        <v>403557</v>
      </c>
      <c r="D37" s="34"/>
      <c r="E37" s="34">
        <v>10376129</v>
      </c>
      <c r="F37" s="34">
        <v>1960272</v>
      </c>
      <c r="G37" s="34"/>
      <c r="H37" s="34">
        <v>1332817</v>
      </c>
      <c r="I37" s="34">
        <v>4537726</v>
      </c>
      <c r="J37" s="34">
        <v>5772368</v>
      </c>
      <c r="K37" s="34">
        <v>2342369</v>
      </c>
      <c r="L37" s="34">
        <v>42883819</v>
      </c>
      <c r="M37" s="34">
        <v>6941015</v>
      </c>
      <c r="N37" s="34">
        <v>435942</v>
      </c>
      <c r="O37" s="34">
        <v>130834</v>
      </c>
      <c r="P37" s="34"/>
      <c r="Q37" s="34">
        <v>2750842</v>
      </c>
      <c r="R37" s="34">
        <v>1672941</v>
      </c>
      <c r="S37" s="34">
        <v>290824</v>
      </c>
      <c r="T37" s="43"/>
      <c r="U37" s="34">
        <v>5709897</v>
      </c>
      <c r="V37" s="39">
        <v>158928</v>
      </c>
      <c r="W37" s="34">
        <v>282286</v>
      </c>
      <c r="X37" s="34">
        <v>7255454</v>
      </c>
      <c r="Y37" s="34">
        <v>1082146</v>
      </c>
      <c r="Z37" s="35">
        <f>X37+Y37</f>
        <v>8337600</v>
      </c>
      <c r="AA37" s="39"/>
      <c r="AB37" s="34">
        <v>2034029</v>
      </c>
      <c r="AC37" s="34">
        <v>526</v>
      </c>
      <c r="AD37" s="34"/>
      <c r="AE37" s="40">
        <v>860363</v>
      </c>
      <c r="AF37" s="34">
        <v>2299184</v>
      </c>
      <c r="AG37" s="36"/>
      <c r="AH37" s="36"/>
      <c r="AI37" s="34">
        <v>897600</v>
      </c>
      <c r="AJ37" s="34">
        <v>1613735</v>
      </c>
      <c r="AK37" s="34">
        <v>65766</v>
      </c>
      <c r="AL37" s="34">
        <v>307846</v>
      </c>
      <c r="AM37" s="34">
        <v>325238</v>
      </c>
      <c r="AN37" s="34">
        <v>10921</v>
      </c>
      <c r="AO37" s="34">
        <v>0</v>
      </c>
      <c r="AP37" s="34">
        <v>8120633</v>
      </c>
      <c r="AQ37" s="34"/>
      <c r="AR37" s="73"/>
      <c r="AS37" s="46">
        <f t="shared" si="6"/>
        <v>100050760</v>
      </c>
      <c r="AT37" s="35">
        <f>SUM(AI37:AP37,Y37)</f>
        <v>12423885</v>
      </c>
      <c r="AU37" s="70">
        <f t="shared" si="7"/>
        <v>114773829</v>
      </c>
      <c r="AV37" s="107"/>
      <c r="AW37" s="107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ht="13.5" customHeight="1">
      <c r="A38" s="1">
        <v>1853</v>
      </c>
      <c r="B38" s="34">
        <v>1927603</v>
      </c>
      <c r="C38" s="34">
        <v>552539</v>
      </c>
      <c r="D38" s="34"/>
      <c r="E38" s="34">
        <v>13496538</v>
      </c>
      <c r="F38" s="34">
        <v>2697780</v>
      </c>
      <c r="G38" s="34"/>
      <c r="H38" s="34">
        <v>2031300</v>
      </c>
      <c r="I38" s="34">
        <v>713633</v>
      </c>
      <c r="J38" s="34">
        <v>7838495</v>
      </c>
      <c r="K38" s="34">
        <v>1836042</v>
      </c>
      <c r="L38" s="34">
        <v>65956202</v>
      </c>
      <c r="M38" s="34">
        <v>15160995</v>
      </c>
      <c r="N38" s="34">
        <v>617364</v>
      </c>
      <c r="O38" s="34">
        <v>66896</v>
      </c>
      <c r="P38" s="34"/>
      <c r="Q38" s="34">
        <v>3632324</v>
      </c>
      <c r="R38" s="34">
        <v>2762913</v>
      </c>
      <c r="S38" s="34">
        <v>451229</v>
      </c>
      <c r="T38" s="43"/>
      <c r="U38" s="34">
        <v>7640003</v>
      </c>
      <c r="V38" s="39">
        <v>139192</v>
      </c>
      <c r="W38" s="34">
        <v>340388</v>
      </c>
      <c r="X38" s="34">
        <v>5820409</v>
      </c>
      <c r="Y38" s="34">
        <v>876222</v>
      </c>
      <c r="Z38" s="35">
        <f>X38+Y38</f>
        <v>6696631</v>
      </c>
      <c r="AA38" s="39"/>
      <c r="AB38" s="34">
        <v>2566260</v>
      </c>
      <c r="AC38" s="34">
        <v>0</v>
      </c>
      <c r="AD38" s="34"/>
      <c r="AE38" s="40">
        <v>1158532</v>
      </c>
      <c r="AF38" s="34">
        <v>2287624</v>
      </c>
      <c r="AG38" s="36"/>
      <c r="AH38" s="36"/>
      <c r="AI38" s="34">
        <v>795046</v>
      </c>
      <c r="AJ38" s="34">
        <v>1943121</v>
      </c>
      <c r="AK38" s="34">
        <v>78092</v>
      </c>
      <c r="AL38" s="34">
        <v>308088</v>
      </c>
      <c r="AM38" s="34">
        <v>372811</v>
      </c>
      <c r="AN38" s="34">
        <v>15406</v>
      </c>
      <c r="AO38" s="34">
        <v>0</v>
      </c>
      <c r="AP38" s="34">
        <v>3579768</v>
      </c>
      <c r="AQ38" s="34"/>
      <c r="AR38" s="113"/>
      <c r="AS38" s="46">
        <f t="shared" si="6"/>
        <v>137406637</v>
      </c>
      <c r="AT38" s="35">
        <f>SUM(AI38:AP38,Y38)</f>
        <v>7968554</v>
      </c>
      <c r="AU38" s="70">
        <f t="shared" si="7"/>
        <v>147662815</v>
      </c>
      <c r="AV38" s="107"/>
      <c r="AW38" s="107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ht="13.5" customHeight="1">
      <c r="A39" s="1">
        <v>1854</v>
      </c>
      <c r="B39" s="34">
        <v>390207</v>
      </c>
      <c r="C39" s="34">
        <v>450599</v>
      </c>
      <c r="D39" s="34"/>
      <c r="E39" s="34">
        <v>18660976</v>
      </c>
      <c r="F39" s="34">
        <v>915023</v>
      </c>
      <c r="G39" s="34"/>
      <c r="H39" s="34">
        <v>384273</v>
      </c>
      <c r="I39" s="34">
        <v>58414</v>
      </c>
      <c r="J39" s="34">
        <v>3503635</v>
      </c>
      <c r="K39" s="34">
        <v>889405</v>
      </c>
      <c r="L39" s="34">
        <v>12345841</v>
      </c>
      <c r="M39" s="34">
        <v>3327823</v>
      </c>
      <c r="N39" s="34">
        <v>31513</v>
      </c>
      <c r="O39" s="34">
        <v>0</v>
      </c>
      <c r="P39" s="34"/>
      <c r="Q39" s="34">
        <v>801474</v>
      </c>
      <c r="R39" s="34">
        <v>1117495</v>
      </c>
      <c r="S39" s="34">
        <v>58894</v>
      </c>
      <c r="T39" s="43"/>
      <c r="U39" s="34">
        <v>8351337</v>
      </c>
      <c r="V39" s="39">
        <v>57681</v>
      </c>
      <c r="W39" s="34">
        <v>223421</v>
      </c>
      <c r="X39" s="34">
        <v>1496570</v>
      </c>
      <c r="Y39" s="34">
        <v>896</v>
      </c>
      <c r="Z39" s="35">
        <f>X39+Y39</f>
        <v>1497466</v>
      </c>
      <c r="AA39" s="39"/>
      <c r="AB39" s="34">
        <v>329334</v>
      </c>
      <c r="AC39" s="34">
        <v>0</v>
      </c>
      <c r="AD39" s="34"/>
      <c r="AE39" s="40">
        <v>127720</v>
      </c>
      <c r="AF39" s="34">
        <v>1908028</v>
      </c>
      <c r="AG39" s="36"/>
      <c r="AH39" s="36"/>
      <c r="AI39" s="34">
        <v>811082</v>
      </c>
      <c r="AJ39" s="34">
        <v>1667880</v>
      </c>
      <c r="AK39" s="34">
        <v>90549</v>
      </c>
      <c r="AL39" s="34">
        <v>435354</v>
      </c>
      <c r="AM39" s="34">
        <v>370814</v>
      </c>
      <c r="AN39" s="34">
        <v>39178</v>
      </c>
      <c r="AO39" s="34">
        <v>0</v>
      </c>
      <c r="AP39" s="34">
        <v>6492265</v>
      </c>
      <c r="AQ39" s="34"/>
      <c r="AR39" s="73"/>
      <c r="AS39" s="46">
        <f t="shared" si="6"/>
        <v>53521635</v>
      </c>
      <c r="AT39" s="35">
        <f>SUM(AI39:AP39,Y39)</f>
        <v>9908018</v>
      </c>
      <c r="AU39" s="70">
        <f t="shared" si="7"/>
        <v>65337681</v>
      </c>
      <c r="AV39" s="107"/>
      <c r="AW39" s="107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ht="13.5" customHeight="1">
      <c r="A40" s="1">
        <v>1855</v>
      </c>
      <c r="B40" s="34">
        <v>107603</v>
      </c>
      <c r="C40" s="34">
        <v>100407</v>
      </c>
      <c r="D40" s="34"/>
      <c r="E40" s="34">
        <v>18083910</v>
      </c>
      <c r="F40" s="34">
        <v>330156</v>
      </c>
      <c r="G40" s="34"/>
      <c r="H40" s="34">
        <v>119611</v>
      </c>
      <c r="I40" s="43">
        <v>0</v>
      </c>
      <c r="J40" s="34">
        <v>122789</v>
      </c>
      <c r="K40" s="34">
        <v>699</v>
      </c>
      <c r="L40" s="34">
        <v>118637</v>
      </c>
      <c r="M40" s="34">
        <v>44952</v>
      </c>
      <c r="N40" s="34">
        <v>175</v>
      </c>
      <c r="O40" s="34">
        <v>0</v>
      </c>
      <c r="P40" s="34"/>
      <c r="Q40" s="34">
        <v>0</v>
      </c>
      <c r="R40" s="34">
        <v>3395</v>
      </c>
      <c r="S40" s="34">
        <v>70</v>
      </c>
      <c r="T40" s="43"/>
      <c r="U40" s="34">
        <v>6367692</v>
      </c>
      <c r="V40" s="43">
        <v>0</v>
      </c>
      <c r="W40" s="34">
        <v>254395</v>
      </c>
      <c r="X40" s="34">
        <v>351248</v>
      </c>
      <c r="Y40" s="34">
        <v>0</v>
      </c>
      <c r="Z40" s="35">
        <f>X40+Y40</f>
        <v>351248</v>
      </c>
      <c r="AA40" s="39"/>
      <c r="AB40" s="34">
        <v>24886</v>
      </c>
      <c r="AC40" s="43">
        <v>0</v>
      </c>
      <c r="AD40" s="34"/>
      <c r="AE40" s="40">
        <v>1493909</v>
      </c>
      <c r="AF40" s="34">
        <v>1645257</v>
      </c>
      <c r="AG40" s="36"/>
      <c r="AH40" s="36"/>
      <c r="AI40" s="34">
        <v>992799</v>
      </c>
      <c r="AJ40" s="34">
        <v>1826440</v>
      </c>
      <c r="AK40" s="34">
        <v>54900</v>
      </c>
      <c r="AL40" s="34">
        <v>411387</v>
      </c>
      <c r="AM40" s="34">
        <v>288606</v>
      </c>
      <c r="AN40" s="34">
        <v>2020</v>
      </c>
      <c r="AO40" s="34">
        <v>0</v>
      </c>
      <c r="AP40" s="34">
        <v>6771497</v>
      </c>
      <c r="AQ40" s="34"/>
      <c r="AR40" s="73"/>
      <c r="AS40" s="46">
        <f t="shared" si="6"/>
        <v>27524534</v>
      </c>
      <c r="AT40" s="35">
        <f>SUM(AI40:AP40,Y40)</f>
        <v>10347649</v>
      </c>
      <c r="AU40" s="70">
        <f t="shared" si="7"/>
        <v>39517440</v>
      </c>
      <c r="AV40" s="107"/>
      <c r="AW40" s="107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ht="13.5" customHeight="1">
      <c r="A41" s="1">
        <v>1856</v>
      </c>
      <c r="B41" s="34">
        <v>4068224</v>
      </c>
      <c r="C41" s="34">
        <v>787754</v>
      </c>
      <c r="D41" s="34"/>
      <c r="E41" s="34">
        <v>18955339</v>
      </c>
      <c r="F41" s="34">
        <v>3956746</v>
      </c>
      <c r="G41" s="34"/>
      <c r="H41" s="34">
        <v>3144961</v>
      </c>
      <c r="I41" s="34">
        <v>1403581</v>
      </c>
      <c r="J41" s="34">
        <v>9251436</v>
      </c>
      <c r="K41" s="34">
        <v>2170584</v>
      </c>
      <c r="L41" s="34">
        <v>64172308</v>
      </c>
      <c r="M41" s="34">
        <v>16870871</v>
      </c>
      <c r="N41" s="34">
        <v>643919</v>
      </c>
      <c r="O41" s="34">
        <v>53018</v>
      </c>
      <c r="P41" s="34"/>
      <c r="Q41" s="34">
        <v>1933909</v>
      </c>
      <c r="R41" s="34">
        <v>1611620</v>
      </c>
      <c r="S41" s="34">
        <v>142607</v>
      </c>
      <c r="T41" s="43"/>
      <c r="U41" s="34">
        <v>7155994</v>
      </c>
      <c r="V41" s="34">
        <v>55069</v>
      </c>
      <c r="W41" s="34">
        <v>573137</v>
      </c>
      <c r="X41" s="34">
        <v>6977931</v>
      </c>
      <c r="Y41" s="34">
        <v>661948</v>
      </c>
      <c r="Z41" s="35">
        <f aca="true" t="shared" si="8" ref="Z41:Z47">X41+Y41</f>
        <v>7639879</v>
      </c>
      <c r="AA41" s="39"/>
      <c r="AB41" s="34">
        <v>2372405</v>
      </c>
      <c r="AC41" s="34">
        <v>0</v>
      </c>
      <c r="AD41" s="34"/>
      <c r="AE41" s="40">
        <v>470481</v>
      </c>
      <c r="AF41" s="34">
        <v>2884096</v>
      </c>
      <c r="AG41" s="34"/>
      <c r="AH41" s="34"/>
      <c r="AI41" s="34">
        <v>898137</v>
      </c>
      <c r="AJ41" s="34">
        <v>2119443</v>
      </c>
      <c r="AK41" s="34">
        <v>14498</v>
      </c>
      <c r="AL41" s="34">
        <v>399441</v>
      </c>
      <c r="AM41" s="34">
        <v>343788</v>
      </c>
      <c r="AN41" s="43"/>
      <c r="AO41" s="34">
        <v>0</v>
      </c>
      <c r="AP41" s="34">
        <v>6156627</v>
      </c>
      <c r="AQ41" s="34"/>
      <c r="AR41" s="34"/>
      <c r="AS41" s="46">
        <f t="shared" si="6"/>
        <v>146771894</v>
      </c>
      <c r="AT41" s="35">
        <f>SUM(AI41:AP41,Y41)</f>
        <v>10593882</v>
      </c>
      <c r="AU41" s="70">
        <f t="shared" si="7"/>
        <v>160249872</v>
      </c>
      <c r="AV41" s="107"/>
      <c r="AW41" s="107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ht="13.5" customHeight="1">
      <c r="A42" s="1">
        <v>1857</v>
      </c>
      <c r="B42" s="34">
        <v>2511504</v>
      </c>
      <c r="C42" s="34">
        <v>655549</v>
      </c>
      <c r="D42" s="34"/>
      <c r="E42" s="34">
        <v>17796475</v>
      </c>
      <c r="F42" s="34">
        <v>4568320</v>
      </c>
      <c r="G42" s="34"/>
      <c r="H42" s="34">
        <v>5088208</v>
      </c>
      <c r="I42" s="34">
        <v>679883</v>
      </c>
      <c r="J42" s="34">
        <v>9898225</v>
      </c>
      <c r="K42" s="34">
        <v>2337715</v>
      </c>
      <c r="L42" s="34">
        <v>72274418</v>
      </c>
      <c r="M42" s="34">
        <v>14275857</v>
      </c>
      <c r="N42" s="34">
        <v>622535</v>
      </c>
      <c r="O42" s="34">
        <v>331104</v>
      </c>
      <c r="P42" s="34"/>
      <c r="Q42" s="34">
        <v>2241390</v>
      </c>
      <c r="R42" s="34">
        <v>1564856</v>
      </c>
      <c r="S42" s="34">
        <v>78406</v>
      </c>
      <c r="T42" s="43"/>
      <c r="U42" s="34">
        <v>7429189</v>
      </c>
      <c r="V42" s="34">
        <v>31044</v>
      </c>
      <c r="W42" s="34">
        <v>152049</v>
      </c>
      <c r="X42" s="34">
        <v>8368491</v>
      </c>
      <c r="Y42" s="34">
        <v>1228524</v>
      </c>
      <c r="Z42" s="35">
        <f t="shared" si="8"/>
        <v>9597015</v>
      </c>
      <c r="AA42" s="36"/>
      <c r="AB42" s="34">
        <v>2263285</v>
      </c>
      <c r="AC42" s="34">
        <v>0</v>
      </c>
      <c r="AD42" s="34"/>
      <c r="AE42" s="40">
        <v>251470</v>
      </c>
      <c r="AF42" s="34">
        <v>4322563</v>
      </c>
      <c r="AG42" s="34"/>
      <c r="AH42" s="34"/>
      <c r="AI42" s="34">
        <v>876080</v>
      </c>
      <c r="AJ42" s="34">
        <v>2566829</v>
      </c>
      <c r="AK42" s="34">
        <v>20194</v>
      </c>
      <c r="AL42" s="34">
        <v>539416</v>
      </c>
      <c r="AM42" s="34">
        <v>605451</v>
      </c>
      <c r="AN42" s="34"/>
      <c r="AO42" s="34">
        <v>0</v>
      </c>
      <c r="AP42" s="34">
        <v>6109104</v>
      </c>
      <c r="AQ42" s="34"/>
      <c r="AR42" s="34"/>
      <c r="AS42" s="46">
        <f t="shared" si="6"/>
        <v>153419973</v>
      </c>
      <c r="AT42" s="35">
        <f>SUM(AI42:AP42,Y42)</f>
        <v>11945598</v>
      </c>
      <c r="AU42" s="70">
        <f t="shared" si="7"/>
        <v>169688134</v>
      </c>
      <c r="AV42" s="107"/>
      <c r="AW42" s="107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ht="13.5" customHeight="1">
      <c r="A43" s="1">
        <v>1858</v>
      </c>
      <c r="B43" s="34">
        <v>1015752</v>
      </c>
      <c r="C43" s="34">
        <v>525718</v>
      </c>
      <c r="D43" s="34"/>
      <c r="E43" s="34">
        <v>15436258</v>
      </c>
      <c r="F43" s="34">
        <v>2655836</v>
      </c>
      <c r="G43" s="43"/>
      <c r="H43" s="34">
        <v>3097068</v>
      </c>
      <c r="I43" s="43"/>
      <c r="J43" s="34">
        <v>6769806</v>
      </c>
      <c r="K43" s="34">
        <v>3084076</v>
      </c>
      <c r="L43" s="34">
        <v>65941662</v>
      </c>
      <c r="M43" s="34">
        <v>16249532</v>
      </c>
      <c r="N43" s="34">
        <v>365804</v>
      </c>
      <c r="O43" s="34">
        <v>185848</v>
      </c>
      <c r="P43" s="34"/>
      <c r="Q43" s="34">
        <v>2534677</v>
      </c>
      <c r="R43" s="34">
        <v>1473073</v>
      </c>
      <c r="S43" s="34">
        <v>11774</v>
      </c>
      <c r="T43" s="43"/>
      <c r="U43" s="34">
        <v>6262743</v>
      </c>
      <c r="V43" s="34">
        <v>56241</v>
      </c>
      <c r="W43" s="34">
        <v>23326</v>
      </c>
      <c r="X43" s="34">
        <v>8285021</v>
      </c>
      <c r="Y43" s="34">
        <v>778492</v>
      </c>
      <c r="Z43" s="35">
        <f t="shared" si="8"/>
        <v>9063513</v>
      </c>
      <c r="AA43" s="43"/>
      <c r="AB43" s="34">
        <v>1755338</v>
      </c>
      <c r="AC43" s="34">
        <v>0</v>
      </c>
      <c r="AD43" s="34"/>
      <c r="AE43" s="40">
        <v>757504</v>
      </c>
      <c r="AF43" s="34">
        <v>2779019</v>
      </c>
      <c r="AG43" s="34"/>
      <c r="AH43" s="34"/>
      <c r="AI43" s="34">
        <v>1226811</v>
      </c>
      <c r="AJ43" s="34">
        <v>2824533</v>
      </c>
      <c r="AK43" s="34">
        <v>17827</v>
      </c>
      <c r="AL43" s="34">
        <v>687009</v>
      </c>
      <c r="AM43" s="34">
        <v>606589</v>
      </c>
      <c r="AN43" s="34"/>
      <c r="AO43" s="34">
        <v>0</v>
      </c>
      <c r="AP43" s="34">
        <v>5768310</v>
      </c>
      <c r="AQ43" s="34"/>
      <c r="AR43" s="34"/>
      <c r="AS43" s="46">
        <f t="shared" si="6"/>
        <v>136487057</v>
      </c>
      <c r="AT43" s="35">
        <f>SUM(AI43:AP43,Y43)</f>
        <v>11909571</v>
      </c>
      <c r="AU43" s="70">
        <f t="shared" si="7"/>
        <v>151175647</v>
      </c>
      <c r="AV43" s="107"/>
      <c r="AW43" s="107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ht="13.5" customHeight="1">
      <c r="A44" s="1">
        <v>1859</v>
      </c>
      <c r="B44" s="34">
        <v>1216533</v>
      </c>
      <c r="C44" s="34">
        <v>606381</v>
      </c>
      <c r="D44" s="34"/>
      <c r="E44" s="34">
        <v>16528031</v>
      </c>
      <c r="F44" s="34">
        <v>3701771</v>
      </c>
      <c r="G44" s="34">
        <v>676461</v>
      </c>
      <c r="H44" s="34">
        <v>1958322</v>
      </c>
      <c r="I44" s="34"/>
      <c r="J44" s="34">
        <v>7360515</v>
      </c>
      <c r="K44" s="34">
        <v>1972064</v>
      </c>
      <c r="L44" s="34">
        <v>76265987</v>
      </c>
      <c r="M44" s="34">
        <v>12543865</v>
      </c>
      <c r="N44" s="34">
        <v>368539</v>
      </c>
      <c r="O44" s="34">
        <v>133546</v>
      </c>
      <c r="P44" s="34"/>
      <c r="Q44" s="34">
        <v>4838538</v>
      </c>
      <c r="R44" s="34">
        <v>1785080</v>
      </c>
      <c r="S44" s="34">
        <v>2181864</v>
      </c>
      <c r="T44" s="43"/>
      <c r="U44" s="34">
        <v>6641292</v>
      </c>
      <c r="V44" s="34">
        <v>155959</v>
      </c>
      <c r="W44" s="34">
        <v>28070</v>
      </c>
      <c r="X44" s="34">
        <v>7084583</v>
      </c>
      <c r="Y44" s="34">
        <v>1107402</v>
      </c>
      <c r="Z44" s="35">
        <f t="shared" si="8"/>
        <v>8191985</v>
      </c>
      <c r="AA44" s="39">
        <v>1155145</v>
      </c>
      <c r="AB44" s="34">
        <v>2113399</v>
      </c>
      <c r="AC44" s="34">
        <v>0</v>
      </c>
      <c r="AD44" s="34"/>
      <c r="AE44" s="40">
        <v>80018</v>
      </c>
      <c r="AF44" s="34">
        <v>3273932</v>
      </c>
      <c r="AG44" s="34"/>
      <c r="AH44" s="34"/>
      <c r="AI44" s="34">
        <v>1217706</v>
      </c>
      <c r="AJ44" s="34">
        <v>2925950</v>
      </c>
      <c r="AK44" s="34">
        <v>7331</v>
      </c>
      <c r="AL44" s="34">
        <v>1291275</v>
      </c>
      <c r="AM44" s="34">
        <v>504731</v>
      </c>
      <c r="AN44" s="34"/>
      <c r="AO44" s="34">
        <v>0</v>
      </c>
      <c r="AP44" s="34">
        <v>5940382</v>
      </c>
      <c r="AQ44" s="34"/>
      <c r="AR44" s="34"/>
      <c r="AS44" s="46">
        <f>SUM(B44:X44,AA44:AE44)</f>
        <v>149395963</v>
      </c>
      <c r="AT44" s="35">
        <f>SUM(AI44:AP44,Y44)</f>
        <v>12994777</v>
      </c>
      <c r="AU44" s="70">
        <f t="shared" si="7"/>
        <v>165664672</v>
      </c>
      <c r="AV44" s="107"/>
      <c r="AW44" s="107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3.5" customHeight="1">
      <c r="A45" s="1">
        <v>1860</v>
      </c>
      <c r="B45" s="36">
        <v>1108539</v>
      </c>
      <c r="C45" s="36">
        <v>882965</v>
      </c>
      <c r="D45" s="36"/>
      <c r="E45" s="36">
        <v>19928855</v>
      </c>
      <c r="F45" s="36">
        <v>4559235</v>
      </c>
      <c r="G45" s="36">
        <v>703312</v>
      </c>
      <c r="H45" s="36">
        <v>4472816</v>
      </c>
      <c r="I45" s="36"/>
      <c r="J45" s="36">
        <v>9887162</v>
      </c>
      <c r="K45" s="36">
        <v>2231985</v>
      </c>
      <c r="L45" s="36">
        <v>85006206</v>
      </c>
      <c r="M45" s="36">
        <v>12070906</v>
      </c>
      <c r="N45" s="36">
        <v>318151</v>
      </c>
      <c r="O45" s="36">
        <v>4256</v>
      </c>
      <c r="P45" s="36"/>
      <c r="Q45" s="36">
        <v>2080982</v>
      </c>
      <c r="R45" s="36">
        <v>533973</v>
      </c>
      <c r="S45" s="36">
        <v>1237387</v>
      </c>
      <c r="T45" s="43"/>
      <c r="U45" s="36">
        <v>6064396</v>
      </c>
      <c r="V45" s="39">
        <v>42435</v>
      </c>
      <c r="W45" s="39">
        <v>109578</v>
      </c>
      <c r="X45" s="39">
        <v>8410157</v>
      </c>
      <c r="Y45" s="39">
        <v>1589918</v>
      </c>
      <c r="Z45" s="35">
        <f t="shared" si="8"/>
        <v>10000075</v>
      </c>
      <c r="AA45" s="39">
        <v>3195617</v>
      </c>
      <c r="AB45" s="36">
        <v>2250781</v>
      </c>
      <c r="AC45" s="36">
        <v>0</v>
      </c>
      <c r="AD45" s="36"/>
      <c r="AE45" s="39">
        <v>84102</v>
      </c>
      <c r="AF45" s="36">
        <v>2847791</v>
      </c>
      <c r="AG45" s="36"/>
      <c r="AH45" s="36"/>
      <c r="AI45" s="36">
        <v>1098017</v>
      </c>
      <c r="AJ45" s="36">
        <v>2887644</v>
      </c>
      <c r="AK45" s="36">
        <v>3714</v>
      </c>
      <c r="AL45" s="36">
        <v>1627836</v>
      </c>
      <c r="AM45" s="36">
        <v>287993</v>
      </c>
      <c r="AN45" s="36"/>
      <c r="AO45" s="36">
        <v>0</v>
      </c>
      <c r="AP45" s="36">
        <v>5856572</v>
      </c>
      <c r="AQ45" s="36"/>
      <c r="AR45" s="36"/>
      <c r="AS45" s="46">
        <f>SUM(B45:X45,AA45:AE45)</f>
        <v>165183796</v>
      </c>
      <c r="AT45" s="35">
        <f>SUM(AI45:AP45,Y45)</f>
        <v>13351694</v>
      </c>
      <c r="AU45" s="70">
        <f t="shared" si="7"/>
        <v>181383281</v>
      </c>
      <c r="AV45" s="107"/>
      <c r="AW45" s="107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ht="13.5" customHeight="1">
      <c r="A46" s="1">
        <v>1861</v>
      </c>
      <c r="B46" s="36">
        <v>2463673</v>
      </c>
      <c r="C46" s="36">
        <v>1047663</v>
      </c>
      <c r="D46" s="36"/>
      <c r="E46" s="36">
        <v>19995326</v>
      </c>
      <c r="F46" s="36">
        <v>3980891</v>
      </c>
      <c r="G46" s="36">
        <v>1263293</v>
      </c>
      <c r="H46" s="36">
        <v>1981939</v>
      </c>
      <c r="I46" s="36"/>
      <c r="J46" s="36">
        <v>9134192</v>
      </c>
      <c r="K46" s="36">
        <v>2578313</v>
      </c>
      <c r="L46" s="36">
        <v>76323278</v>
      </c>
      <c r="M46" s="36">
        <v>20012046</v>
      </c>
      <c r="N46" s="36">
        <v>464742</v>
      </c>
      <c r="O46" s="36">
        <v>51606</v>
      </c>
      <c r="P46" s="36"/>
      <c r="Q46" s="43"/>
      <c r="R46" s="43"/>
      <c r="S46" s="43"/>
      <c r="T46" s="36">
        <v>3761913</v>
      </c>
      <c r="U46" s="36">
        <v>5813283</v>
      </c>
      <c r="V46" s="39">
        <v>86646</v>
      </c>
      <c r="W46" s="39">
        <v>193981</v>
      </c>
      <c r="X46" s="39">
        <v>6736869</v>
      </c>
      <c r="Y46" s="39">
        <v>1596959</v>
      </c>
      <c r="Z46" s="35">
        <f t="shared" si="8"/>
        <v>8333828</v>
      </c>
      <c r="AA46" s="39">
        <v>3119331</v>
      </c>
      <c r="AB46" s="36">
        <v>638000</v>
      </c>
      <c r="AC46" s="36">
        <v>0</v>
      </c>
      <c r="AD46" s="36"/>
      <c r="AE46" s="39">
        <v>213314</v>
      </c>
      <c r="AF46" s="36">
        <v>3861564</v>
      </c>
      <c r="AG46" s="36"/>
      <c r="AH46" s="36"/>
      <c r="AI46" s="36">
        <v>1170277</v>
      </c>
      <c r="AJ46" s="36">
        <v>2645880</v>
      </c>
      <c r="AK46" s="36">
        <v>4291</v>
      </c>
      <c r="AL46" s="36">
        <v>2806327</v>
      </c>
      <c r="AM46" s="36">
        <v>256238</v>
      </c>
      <c r="AN46" s="36"/>
      <c r="AO46" s="36">
        <v>8550</v>
      </c>
      <c r="AP46" s="36">
        <v>4969600</v>
      </c>
      <c r="AQ46" s="36"/>
      <c r="AR46" s="36"/>
      <c r="AS46" s="46">
        <f>SUM(B46:X46,AA46:AE46)</f>
        <v>159860299</v>
      </c>
      <c r="AT46" s="35">
        <f>SUM(AI46:AP46,Y46)</f>
        <v>13458122</v>
      </c>
      <c r="AU46" s="70">
        <f t="shared" si="7"/>
        <v>177179985</v>
      </c>
      <c r="AV46" s="107"/>
      <c r="AW46" s="107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3.5" customHeight="1">
      <c r="A47" s="1">
        <v>1862</v>
      </c>
      <c r="B47" s="36">
        <v>1555019</v>
      </c>
      <c r="C47" s="36">
        <v>2079538</v>
      </c>
      <c r="D47" s="36"/>
      <c r="E47" s="36">
        <v>23874375</v>
      </c>
      <c r="F47" s="36">
        <v>5451076</v>
      </c>
      <c r="G47" s="36">
        <v>2158774</v>
      </c>
      <c r="H47" s="36">
        <v>2257947</v>
      </c>
      <c r="I47" s="36"/>
      <c r="J47" s="36">
        <v>8920668</v>
      </c>
      <c r="K47" s="36">
        <v>2171975</v>
      </c>
      <c r="L47" s="36">
        <v>82460257</v>
      </c>
      <c r="M47" s="36">
        <v>11396078</v>
      </c>
      <c r="N47" s="36">
        <v>564029</v>
      </c>
      <c r="O47" s="36">
        <v>7249</v>
      </c>
      <c r="P47" s="36"/>
      <c r="Q47" s="36"/>
      <c r="R47" s="36"/>
      <c r="S47" s="36"/>
      <c r="T47" s="36">
        <v>2746692</v>
      </c>
      <c r="U47" s="36">
        <v>5765435</v>
      </c>
      <c r="V47" s="39">
        <v>74961</v>
      </c>
      <c r="W47" s="39">
        <v>94256</v>
      </c>
      <c r="X47" s="39">
        <v>5346643</v>
      </c>
      <c r="Y47" s="39">
        <v>2150428</v>
      </c>
      <c r="Z47" s="35">
        <f t="shared" si="8"/>
        <v>7497071</v>
      </c>
      <c r="AA47" s="39">
        <v>1823276</v>
      </c>
      <c r="AB47" s="36">
        <v>1135543</v>
      </c>
      <c r="AC47" s="36">
        <v>0</v>
      </c>
      <c r="AD47" s="36"/>
      <c r="AE47" s="39">
        <v>86246</v>
      </c>
      <c r="AF47" s="36">
        <v>7150934</v>
      </c>
      <c r="AG47" s="36"/>
      <c r="AH47" s="36"/>
      <c r="AI47" s="36">
        <v>1116414</v>
      </c>
      <c r="AJ47" s="36">
        <v>2201828</v>
      </c>
      <c r="AK47" s="36">
        <v>12537</v>
      </c>
      <c r="AL47" s="36">
        <v>3126681</v>
      </c>
      <c r="AM47" s="36">
        <v>134846</v>
      </c>
      <c r="AN47" s="36"/>
      <c r="AO47" s="36">
        <v>59386</v>
      </c>
      <c r="AP47" s="36">
        <v>4506734</v>
      </c>
      <c r="AQ47" s="36"/>
      <c r="AR47" s="36"/>
      <c r="AS47" s="46">
        <f>SUM(B47:X47,AA47:AE47)</f>
        <v>159970037</v>
      </c>
      <c r="AT47" s="35">
        <f>SUM(AI47:AP47,Y47)</f>
        <v>13308854</v>
      </c>
      <c r="AU47" s="70">
        <f t="shared" si="7"/>
        <v>180429825</v>
      </c>
      <c r="AV47" s="107"/>
      <c r="AW47" s="107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ht="13.5">
      <c r="AA48" s="61"/>
    </row>
    <row r="49" ht="13.5">
      <c r="AA49" s="61"/>
    </row>
    <row r="50" ht="13.5">
      <c r="AA50" s="61"/>
    </row>
    <row r="51" ht="13.5">
      <c r="AA51" s="61"/>
    </row>
    <row r="52" ht="13.5">
      <c r="AA52" s="61"/>
    </row>
    <row r="53" ht="13.5">
      <c r="AA53" s="61"/>
    </row>
    <row r="54" ht="13.5">
      <c r="AA54" s="61"/>
    </row>
    <row r="55" spans="5:27" ht="13.5">
      <c r="E55" s="17"/>
      <c r="AA55" s="61"/>
    </row>
    <row r="56" spans="5:27" ht="13.5">
      <c r="E56" s="17"/>
      <c r="AA56" s="61"/>
    </row>
    <row r="57" spans="5:27" ht="13.5">
      <c r="E57" s="17"/>
      <c r="AA57" s="61"/>
    </row>
    <row r="58" spans="5:27" ht="13.5">
      <c r="E58" s="17"/>
      <c r="AA58" s="61"/>
    </row>
    <row r="59" spans="5:27" ht="13.5">
      <c r="E59" s="17"/>
      <c r="AA59" s="61"/>
    </row>
    <row r="60" spans="5:27" ht="13.5">
      <c r="E60" s="17"/>
      <c r="AA60" s="61"/>
    </row>
    <row r="61" spans="5:27" ht="13.5">
      <c r="E61" s="17"/>
      <c r="AA61" s="61"/>
    </row>
    <row r="62" spans="5:27" ht="13.5">
      <c r="E62" s="17"/>
      <c r="AA62" s="61"/>
    </row>
    <row r="63" spans="5:27" ht="13.5">
      <c r="E63" s="17"/>
      <c r="AA63" s="61"/>
    </row>
    <row r="64" spans="5:27" ht="13.5">
      <c r="E64" s="17"/>
      <c r="AA64" s="61"/>
    </row>
    <row r="65" spans="5:27" ht="13.5">
      <c r="E65" s="17"/>
      <c r="AA65" s="61"/>
    </row>
    <row r="66" ht="13.5">
      <c r="E66" s="17"/>
    </row>
  </sheetData>
  <hyperlinks>
    <hyperlink ref="J5" r:id="rId1" display="http://www.hist.msu.ru/Dynamics/10text.ht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A61"/>
  <sheetViews>
    <sheetView zoomScale="125" zoomScaleNormal="12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6" sqref="B6"/>
    </sheetView>
  </sheetViews>
  <sheetFormatPr defaultColWidth="9.00390625" defaultRowHeight="12.75"/>
  <cols>
    <col min="1" max="1" width="4.25390625" style="1" customWidth="1"/>
    <col min="2" max="35" width="8.375" style="0" customWidth="1"/>
    <col min="36" max="36" width="8.375" style="13" customWidth="1"/>
    <col min="37" max="45" width="8.375" style="0" customWidth="1"/>
    <col min="46" max="46" width="9.75390625" style="0" customWidth="1"/>
    <col min="47" max="81" width="8.375" style="0" customWidth="1"/>
  </cols>
  <sheetData>
    <row r="1" spans="1:36" ht="12.75">
      <c r="A1" s="75" t="s">
        <v>86</v>
      </c>
      <c r="AE1" s="13"/>
      <c r="AJ1"/>
    </row>
    <row r="2" spans="31:36" ht="12.75">
      <c r="AE2" s="13"/>
      <c r="AJ2"/>
    </row>
    <row r="3" spans="1:36" ht="12.75">
      <c r="A3" s="9" t="s">
        <v>0</v>
      </c>
      <c r="AE3" s="13"/>
      <c r="AJ3"/>
    </row>
    <row r="4" spans="2:36" ht="12.75">
      <c r="B4" t="s">
        <v>88</v>
      </c>
      <c r="AE4" s="13"/>
      <c r="AJ4"/>
    </row>
    <row r="5" spans="2:36" ht="12.75">
      <c r="B5" s="77" t="s">
        <v>90</v>
      </c>
      <c r="C5" s="77"/>
      <c r="D5" s="77"/>
      <c r="E5" s="77"/>
      <c r="F5" s="77"/>
      <c r="G5" s="77"/>
      <c r="H5" s="77"/>
      <c r="I5" s="78"/>
      <c r="J5" s="78" t="s">
        <v>89</v>
      </c>
      <c r="AE5" s="13"/>
      <c r="AJ5"/>
    </row>
    <row r="6" spans="2:36" ht="12.75">
      <c r="B6" s="8" t="s">
        <v>126</v>
      </c>
      <c r="AE6" s="13"/>
      <c r="AJ6"/>
    </row>
    <row r="7" spans="31:36" ht="12.75">
      <c r="AE7" s="13"/>
      <c r="AJ7"/>
    </row>
    <row r="8" spans="1:36" ht="18.75">
      <c r="A8" s="12" t="s">
        <v>128</v>
      </c>
      <c r="AE8" s="13"/>
      <c r="AJ8"/>
    </row>
    <row r="9" spans="1:36" ht="12.75">
      <c r="A9" s="76" t="s">
        <v>87</v>
      </c>
      <c r="AE9" s="13"/>
      <c r="AJ9"/>
    </row>
    <row r="10" spans="31:36" ht="12.75">
      <c r="AE10" s="13"/>
      <c r="AJ10"/>
    </row>
    <row r="11" spans="1:105" ht="48" customHeight="1">
      <c r="A11" s="11"/>
      <c r="B11" s="7" t="s">
        <v>21</v>
      </c>
      <c r="C11" s="7" t="s">
        <v>12</v>
      </c>
      <c r="D11" s="23" t="s">
        <v>43</v>
      </c>
      <c r="E11" s="23" t="s">
        <v>104</v>
      </c>
      <c r="F11" s="7" t="s">
        <v>105</v>
      </c>
      <c r="G11" s="81" t="s">
        <v>91</v>
      </c>
      <c r="H11" s="29" t="s">
        <v>106</v>
      </c>
      <c r="I11" s="22" t="s">
        <v>5</v>
      </c>
      <c r="J11" s="23" t="s">
        <v>8</v>
      </c>
      <c r="K11" s="23" t="s">
        <v>6</v>
      </c>
      <c r="L11" s="23" t="s">
        <v>2</v>
      </c>
      <c r="M11" s="23" t="s">
        <v>107</v>
      </c>
      <c r="N11" s="23" t="s">
        <v>108</v>
      </c>
      <c r="O11" s="7" t="s">
        <v>92</v>
      </c>
      <c r="P11" s="23" t="s">
        <v>109</v>
      </c>
      <c r="Q11" s="23" t="s">
        <v>110</v>
      </c>
      <c r="R11" s="23" t="s">
        <v>20</v>
      </c>
      <c r="S11" s="23" t="s">
        <v>15</v>
      </c>
      <c r="T11" s="23" t="s">
        <v>10</v>
      </c>
      <c r="U11" s="23" t="s">
        <v>111</v>
      </c>
      <c r="V11" s="23" t="s">
        <v>112</v>
      </c>
      <c r="W11" s="23" t="s">
        <v>11</v>
      </c>
      <c r="X11" s="23" t="s">
        <v>113</v>
      </c>
      <c r="Y11" s="23" t="s">
        <v>114</v>
      </c>
      <c r="Z11" s="23" t="s">
        <v>48</v>
      </c>
      <c r="AA11" s="7" t="s">
        <v>95</v>
      </c>
      <c r="AB11" s="23" t="s">
        <v>7</v>
      </c>
      <c r="AC11" s="7" t="s">
        <v>96</v>
      </c>
      <c r="AD11" s="7" t="s">
        <v>97</v>
      </c>
      <c r="AE11" s="23" t="s">
        <v>19</v>
      </c>
      <c r="AF11" s="23" t="s">
        <v>45</v>
      </c>
      <c r="AG11" s="23" t="s">
        <v>18</v>
      </c>
      <c r="AH11" s="23" t="s">
        <v>46</v>
      </c>
      <c r="AI11" s="23" t="s">
        <v>9</v>
      </c>
      <c r="AJ11" s="29" t="s">
        <v>98</v>
      </c>
      <c r="AK11" s="23" t="s">
        <v>23</v>
      </c>
      <c r="AL11" s="23" t="s">
        <v>14</v>
      </c>
      <c r="AM11" s="23" t="s">
        <v>47</v>
      </c>
      <c r="AN11" s="23" t="s">
        <v>115</v>
      </c>
      <c r="AO11" s="23" t="s">
        <v>49</v>
      </c>
      <c r="AP11" s="23" t="s">
        <v>50</v>
      </c>
      <c r="AQ11" s="24" t="s">
        <v>51</v>
      </c>
      <c r="AR11" s="23" t="s">
        <v>100</v>
      </c>
      <c r="AS11" s="23" t="s">
        <v>36</v>
      </c>
      <c r="AT11" s="7" t="s">
        <v>101</v>
      </c>
      <c r="AU11" s="7" t="s">
        <v>102</v>
      </c>
      <c r="AV11" s="7" t="s">
        <v>103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1:81" ht="13.5" customHeight="1">
      <c r="A12" s="1">
        <v>1863</v>
      </c>
      <c r="B12" s="71">
        <v>752193</v>
      </c>
      <c r="C12" s="71">
        <v>1744449</v>
      </c>
      <c r="D12" s="74">
        <f>B12+C12</f>
        <v>2496642</v>
      </c>
      <c r="E12" s="36">
        <v>20728551</v>
      </c>
      <c r="F12" s="43">
        <v>0</v>
      </c>
      <c r="G12" s="36">
        <v>4605166</v>
      </c>
      <c r="H12" s="36">
        <v>1505845</v>
      </c>
      <c r="I12" s="46">
        <f>SUM(E12:H12)</f>
        <v>26839562</v>
      </c>
      <c r="J12" s="36">
        <v>1683468</v>
      </c>
      <c r="K12" s="36">
        <v>6548964</v>
      </c>
      <c r="L12" s="36">
        <v>1780195</v>
      </c>
      <c r="M12" s="36">
        <v>66979493</v>
      </c>
      <c r="N12" s="36">
        <v>27545</v>
      </c>
      <c r="O12" s="35">
        <f>M12+N12</f>
        <v>67007038</v>
      </c>
      <c r="P12" s="36">
        <v>11077535</v>
      </c>
      <c r="Q12" s="36">
        <v>767296</v>
      </c>
      <c r="R12" s="35">
        <f>P12+Q12</f>
        <v>11844831</v>
      </c>
      <c r="S12" s="36">
        <v>768835</v>
      </c>
      <c r="T12" s="36">
        <v>66014</v>
      </c>
      <c r="U12" s="36">
        <v>2348227</v>
      </c>
      <c r="V12" s="36">
        <v>78258</v>
      </c>
      <c r="W12" s="35">
        <f aca="true" t="shared" si="0" ref="W12:W31">U12+V12</f>
        <v>2426485</v>
      </c>
      <c r="X12" s="36">
        <v>5017929</v>
      </c>
      <c r="Y12" s="36">
        <v>10032</v>
      </c>
      <c r="Z12" s="35">
        <f>X12+Y12</f>
        <v>5027961</v>
      </c>
      <c r="AA12" s="39">
        <v>13697</v>
      </c>
      <c r="AB12" s="36">
        <v>35988</v>
      </c>
      <c r="AC12" s="36">
        <v>5311653</v>
      </c>
      <c r="AD12" s="36">
        <v>3475768</v>
      </c>
      <c r="AE12" s="35">
        <f>AC12+AD12</f>
        <v>8787421</v>
      </c>
      <c r="AF12" s="36">
        <v>1968454</v>
      </c>
      <c r="AG12" s="36">
        <v>1634038</v>
      </c>
      <c r="AH12" s="43"/>
      <c r="AI12" s="39">
        <v>57078</v>
      </c>
      <c r="AJ12" s="39">
        <v>96320</v>
      </c>
      <c r="AK12" s="36">
        <v>6048496</v>
      </c>
      <c r="AL12" s="36">
        <v>1103648</v>
      </c>
      <c r="AM12" s="36">
        <v>2823</v>
      </c>
      <c r="AN12" s="43"/>
      <c r="AO12" s="36">
        <v>1774185</v>
      </c>
      <c r="AP12" s="36">
        <v>2983595</v>
      </c>
      <c r="AQ12" s="36">
        <v>61571</v>
      </c>
      <c r="AR12" s="43">
        <v>0</v>
      </c>
      <c r="AS12" s="36">
        <v>3415845</v>
      </c>
      <c r="AT12" s="46">
        <f>SUM(AF12:AJ12,S12:U12,X12,P12,J12:M12,G12:H12,D12:E12,AA12:AC12)</f>
        <v>134724092</v>
      </c>
      <c r="AU12" s="35">
        <f>SUM(AL12:AS12,AD12,Q12,N12,F12,Y12,V12)</f>
        <v>13700566</v>
      </c>
      <c r="AV12" s="70">
        <f>AT12+AU12+AK12</f>
        <v>154473154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13.5" customHeight="1">
      <c r="A13" s="1">
        <v>1864</v>
      </c>
      <c r="B13" s="43"/>
      <c r="C13" s="43"/>
      <c r="D13" s="36">
        <v>2070828</v>
      </c>
      <c r="E13" s="36">
        <v>24441974</v>
      </c>
      <c r="F13" s="36">
        <v>0</v>
      </c>
      <c r="G13" s="36">
        <v>2600848</v>
      </c>
      <c r="H13" s="36">
        <v>1103006</v>
      </c>
      <c r="I13" s="46">
        <f aca="true" t="shared" si="1" ref="I13:I19">SUM(E13:H13)</f>
        <v>28145828</v>
      </c>
      <c r="J13" s="36">
        <v>1225926</v>
      </c>
      <c r="K13" s="36">
        <v>6316486</v>
      </c>
      <c r="L13" s="36">
        <v>2680266</v>
      </c>
      <c r="M13" s="36">
        <v>87415617</v>
      </c>
      <c r="N13" s="36">
        <v>2000</v>
      </c>
      <c r="O13" s="35">
        <f aca="true" t="shared" si="2" ref="O13:O19">M13+N13</f>
        <v>87417617</v>
      </c>
      <c r="P13" s="36">
        <v>14520440</v>
      </c>
      <c r="Q13" s="36">
        <v>940257</v>
      </c>
      <c r="R13" s="35">
        <f aca="true" t="shared" si="3" ref="R13:R19">P13+Q13</f>
        <v>15460697</v>
      </c>
      <c r="S13" s="36">
        <v>935276</v>
      </c>
      <c r="T13" s="36">
        <v>38249</v>
      </c>
      <c r="U13" s="36">
        <v>3571069</v>
      </c>
      <c r="V13" s="43">
        <v>0</v>
      </c>
      <c r="W13" s="35">
        <f t="shared" si="0"/>
        <v>3571069</v>
      </c>
      <c r="X13" s="36">
        <v>6371158</v>
      </c>
      <c r="Y13" s="36">
        <v>3096</v>
      </c>
      <c r="Z13" s="35">
        <f aca="true" t="shared" si="4" ref="Z13:Z19">X13+Y13</f>
        <v>6374254</v>
      </c>
      <c r="AA13" s="43"/>
      <c r="AB13" s="36">
        <v>123425</v>
      </c>
      <c r="AC13" s="36">
        <v>8684449</v>
      </c>
      <c r="AD13" s="36">
        <v>2956570</v>
      </c>
      <c r="AE13" s="35">
        <f aca="true" t="shared" si="5" ref="AE13:AE20">AC13+AD13</f>
        <v>11641019</v>
      </c>
      <c r="AF13" s="36">
        <v>1786095</v>
      </c>
      <c r="AG13" s="36">
        <v>915820</v>
      </c>
      <c r="AH13" s="41"/>
      <c r="AI13" s="43"/>
      <c r="AJ13" s="39">
        <v>101933</v>
      </c>
      <c r="AK13" s="36">
        <v>6304031</v>
      </c>
      <c r="AL13" s="36">
        <v>1408908</v>
      </c>
      <c r="AM13" s="36">
        <v>10973</v>
      </c>
      <c r="AN13" s="43"/>
      <c r="AO13" s="36">
        <v>1782937</v>
      </c>
      <c r="AP13" s="36">
        <v>4654988</v>
      </c>
      <c r="AQ13" s="36">
        <v>74250</v>
      </c>
      <c r="AR13" s="43">
        <v>0</v>
      </c>
      <c r="AS13" s="36">
        <v>3704202</v>
      </c>
      <c r="AT13" s="46">
        <f aca="true" t="shared" si="6" ref="AT13:AT31">SUM(AF13:AJ13,S13:U13,X13,P13,J13:M13,G13:H13,D13:E13,AA13:AC13)</f>
        <v>164902865</v>
      </c>
      <c r="AU13" s="35">
        <f aca="true" t="shared" si="7" ref="AU13:AU31">SUM(AL13:AS13,AD13,Q13,N13,F13,Y13)</f>
        <v>15538181</v>
      </c>
      <c r="AV13" s="70">
        <f aca="true" t="shared" si="8" ref="AV13:AV19">AT13+AU13+AK13</f>
        <v>186745077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13.5" customHeight="1">
      <c r="A14" s="1">
        <v>1865</v>
      </c>
      <c r="D14" s="36">
        <v>2498658</v>
      </c>
      <c r="E14" s="36">
        <v>27632920</v>
      </c>
      <c r="F14" s="36">
        <v>0</v>
      </c>
      <c r="G14" s="36">
        <v>2884661</v>
      </c>
      <c r="H14" s="36">
        <v>2435387</v>
      </c>
      <c r="I14" s="46">
        <f t="shared" si="1"/>
        <v>32952968</v>
      </c>
      <c r="J14" s="36">
        <v>1054748</v>
      </c>
      <c r="K14" s="36">
        <v>5026913</v>
      </c>
      <c r="L14" s="36">
        <v>2978462</v>
      </c>
      <c r="M14" s="36">
        <v>98159101</v>
      </c>
      <c r="N14" s="36">
        <v>45155</v>
      </c>
      <c r="O14" s="35">
        <f t="shared" si="2"/>
        <v>98204256</v>
      </c>
      <c r="P14" s="36">
        <v>15588007</v>
      </c>
      <c r="Q14" s="36">
        <v>741919</v>
      </c>
      <c r="R14" s="35">
        <f t="shared" si="3"/>
        <v>16329926</v>
      </c>
      <c r="S14" s="36">
        <v>793062</v>
      </c>
      <c r="T14" s="36">
        <v>19538</v>
      </c>
      <c r="U14" s="36">
        <v>5734684</v>
      </c>
      <c r="V14" s="43">
        <v>0</v>
      </c>
      <c r="W14" s="35">
        <f t="shared" si="0"/>
        <v>5734684</v>
      </c>
      <c r="X14" s="36">
        <v>7148049</v>
      </c>
      <c r="Y14" s="36">
        <v>0</v>
      </c>
      <c r="Z14" s="35">
        <f t="shared" si="4"/>
        <v>7148049</v>
      </c>
      <c r="AA14" s="36"/>
      <c r="AB14" s="36">
        <v>181747</v>
      </c>
      <c r="AC14" s="36">
        <v>7263565</v>
      </c>
      <c r="AD14" s="36">
        <v>4104809</v>
      </c>
      <c r="AE14" s="35">
        <f t="shared" si="5"/>
        <v>11368374</v>
      </c>
      <c r="AF14" s="36">
        <v>2908971</v>
      </c>
      <c r="AG14" s="36">
        <v>1295926</v>
      </c>
      <c r="AH14" s="36">
        <v>0</v>
      </c>
      <c r="AI14" s="36"/>
      <c r="AJ14" s="39">
        <v>823548</v>
      </c>
      <c r="AK14" s="36">
        <v>6895522</v>
      </c>
      <c r="AL14" s="36">
        <v>1717466</v>
      </c>
      <c r="AM14" s="36">
        <v>999509</v>
      </c>
      <c r="AN14" s="43"/>
      <c r="AO14" s="36">
        <v>2483284</v>
      </c>
      <c r="AP14" s="36">
        <v>2250853</v>
      </c>
      <c r="AQ14" s="36">
        <v>523547</v>
      </c>
      <c r="AR14" s="43">
        <v>0</v>
      </c>
      <c r="AS14" s="36">
        <v>5057766</v>
      </c>
      <c r="AT14" s="46">
        <f t="shared" si="6"/>
        <v>184427947</v>
      </c>
      <c r="AU14" s="35">
        <f t="shared" si="7"/>
        <v>17924308</v>
      </c>
      <c r="AV14" s="70">
        <f t="shared" si="8"/>
        <v>209247777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13.5" customHeight="1">
      <c r="A15" s="1">
        <v>1866</v>
      </c>
      <c r="D15" s="36">
        <v>3841161</v>
      </c>
      <c r="E15" s="36">
        <v>28896960</v>
      </c>
      <c r="F15" s="36">
        <v>0</v>
      </c>
      <c r="G15" s="36">
        <v>3698123</v>
      </c>
      <c r="H15" s="36">
        <v>3240583</v>
      </c>
      <c r="I15" s="46">
        <f t="shared" si="1"/>
        <v>35835666</v>
      </c>
      <c r="J15" s="36">
        <v>1300684</v>
      </c>
      <c r="K15" s="36">
        <v>5553273</v>
      </c>
      <c r="L15" s="36">
        <v>3125955</v>
      </c>
      <c r="M15" s="36">
        <v>101851975</v>
      </c>
      <c r="N15" s="36">
        <v>17840</v>
      </c>
      <c r="O15" s="35">
        <f t="shared" si="2"/>
        <v>101869815</v>
      </c>
      <c r="P15" s="36">
        <v>16793887</v>
      </c>
      <c r="Q15" s="36">
        <v>528233</v>
      </c>
      <c r="R15" s="35">
        <f t="shared" si="3"/>
        <v>17322120</v>
      </c>
      <c r="S15" s="36">
        <v>376142</v>
      </c>
      <c r="T15" s="36">
        <v>117197</v>
      </c>
      <c r="U15" s="36">
        <v>5891200</v>
      </c>
      <c r="V15" s="43">
        <v>0</v>
      </c>
      <c r="W15" s="35">
        <f t="shared" si="0"/>
        <v>5891200</v>
      </c>
      <c r="X15" s="36">
        <v>6033050</v>
      </c>
      <c r="Y15" s="36">
        <v>0</v>
      </c>
      <c r="Z15" s="35">
        <f t="shared" si="4"/>
        <v>6033050</v>
      </c>
      <c r="AA15" s="36"/>
      <c r="AB15" s="36">
        <v>572447</v>
      </c>
      <c r="AC15" s="36">
        <v>9196171</v>
      </c>
      <c r="AD15" s="36">
        <v>3535811</v>
      </c>
      <c r="AE15" s="35">
        <f t="shared" si="5"/>
        <v>12731982</v>
      </c>
      <c r="AF15" s="36">
        <v>2662770</v>
      </c>
      <c r="AG15" s="36">
        <v>1433078</v>
      </c>
      <c r="AH15" s="36">
        <v>0</v>
      </c>
      <c r="AI15" s="36"/>
      <c r="AJ15" s="39">
        <v>253528</v>
      </c>
      <c r="AK15" s="36">
        <v>6211287</v>
      </c>
      <c r="AL15" s="36">
        <v>1749067</v>
      </c>
      <c r="AM15" s="36">
        <v>1565457</v>
      </c>
      <c r="AN15" s="43"/>
      <c r="AO15" s="36">
        <v>5251867</v>
      </c>
      <c r="AP15" s="36">
        <v>877182</v>
      </c>
      <c r="AQ15" s="36">
        <v>3187124</v>
      </c>
      <c r="AR15" s="43">
        <v>0</v>
      </c>
      <c r="AS15" s="36">
        <v>5146222</v>
      </c>
      <c r="AT15" s="46">
        <f t="shared" si="6"/>
        <v>194838184</v>
      </c>
      <c r="AU15" s="46">
        <f t="shared" si="7"/>
        <v>21858803</v>
      </c>
      <c r="AV15" s="70">
        <f t="shared" si="8"/>
        <v>222908274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13.5" customHeight="1">
      <c r="A16" s="1">
        <v>1867</v>
      </c>
      <c r="D16" s="36">
        <v>4939534</v>
      </c>
      <c r="E16" s="36">
        <v>30189627</v>
      </c>
      <c r="F16" s="36">
        <v>0</v>
      </c>
      <c r="G16" s="36">
        <v>3826220</v>
      </c>
      <c r="H16" s="36">
        <v>8019615</v>
      </c>
      <c r="I16" s="46">
        <f t="shared" si="1"/>
        <v>42035462</v>
      </c>
      <c r="J16" s="36">
        <v>1197061</v>
      </c>
      <c r="K16" s="36">
        <v>7008418</v>
      </c>
      <c r="L16" s="36">
        <v>4475074</v>
      </c>
      <c r="M16" s="36">
        <v>107683167</v>
      </c>
      <c r="N16" s="36">
        <v>3500</v>
      </c>
      <c r="O16" s="35">
        <f t="shared" si="2"/>
        <v>107686667</v>
      </c>
      <c r="P16" s="36">
        <v>17851346</v>
      </c>
      <c r="Q16" s="36">
        <v>249</v>
      </c>
      <c r="R16" s="35">
        <f t="shared" si="3"/>
        <v>17851595</v>
      </c>
      <c r="S16" s="36">
        <v>1045414</v>
      </c>
      <c r="T16" s="36">
        <v>73005</v>
      </c>
      <c r="U16" s="36">
        <v>3864648</v>
      </c>
      <c r="V16" s="43">
        <v>0</v>
      </c>
      <c r="W16" s="35">
        <f t="shared" si="0"/>
        <v>3864648</v>
      </c>
      <c r="X16" s="36">
        <v>7247451</v>
      </c>
      <c r="Y16" s="36">
        <v>0</v>
      </c>
      <c r="Z16" s="35">
        <f t="shared" si="4"/>
        <v>7247451</v>
      </c>
      <c r="AA16" s="36"/>
      <c r="AB16" s="36">
        <v>345404</v>
      </c>
      <c r="AC16" s="36">
        <v>5935626</v>
      </c>
      <c r="AD16" s="36">
        <v>2590164</v>
      </c>
      <c r="AE16" s="35">
        <f t="shared" si="5"/>
        <v>8525790</v>
      </c>
      <c r="AF16" s="36">
        <v>2265075</v>
      </c>
      <c r="AG16" s="36">
        <v>1262986</v>
      </c>
      <c r="AH16" s="36">
        <v>0</v>
      </c>
      <c r="AI16" s="36"/>
      <c r="AJ16" s="39">
        <v>377015</v>
      </c>
      <c r="AK16" s="36">
        <v>12547980</v>
      </c>
      <c r="AL16" s="36">
        <v>1316816</v>
      </c>
      <c r="AM16" s="36">
        <v>486897</v>
      </c>
      <c r="AN16" s="43"/>
      <c r="AO16" s="36">
        <v>6359108</v>
      </c>
      <c r="AP16" s="36">
        <v>4310214</v>
      </c>
      <c r="AQ16" s="36">
        <v>5478177</v>
      </c>
      <c r="AR16" s="43">
        <v>0</v>
      </c>
      <c r="AS16" s="36">
        <v>4094423</v>
      </c>
      <c r="AT16" s="46">
        <f t="shared" si="6"/>
        <v>207606686</v>
      </c>
      <c r="AU16" s="46">
        <f t="shared" si="7"/>
        <v>24639548</v>
      </c>
      <c r="AV16" s="70">
        <f t="shared" si="8"/>
        <v>244794214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13.5" customHeight="1">
      <c r="A17" s="1">
        <v>1868</v>
      </c>
      <c r="D17" s="36">
        <v>3500170</v>
      </c>
      <c r="E17" s="36">
        <v>36131858</v>
      </c>
      <c r="F17" s="36">
        <v>0</v>
      </c>
      <c r="G17" s="36">
        <v>3069851</v>
      </c>
      <c r="H17" s="36">
        <v>7129125</v>
      </c>
      <c r="I17" s="46">
        <f t="shared" si="1"/>
        <v>46330834</v>
      </c>
      <c r="J17" s="36">
        <v>1406510</v>
      </c>
      <c r="K17" s="36">
        <v>4110694</v>
      </c>
      <c r="L17" s="36">
        <v>3472689</v>
      </c>
      <c r="M17" s="36">
        <v>105644261</v>
      </c>
      <c r="N17" s="36">
        <v>10116</v>
      </c>
      <c r="O17" s="35">
        <f t="shared" si="2"/>
        <v>105654377</v>
      </c>
      <c r="P17" s="36">
        <v>20988842</v>
      </c>
      <c r="Q17" s="36">
        <v>2400</v>
      </c>
      <c r="R17" s="35">
        <f t="shared" si="3"/>
        <v>20991242</v>
      </c>
      <c r="S17" s="36">
        <v>498665</v>
      </c>
      <c r="T17" s="36">
        <v>348623</v>
      </c>
      <c r="U17" s="36">
        <v>3065752</v>
      </c>
      <c r="V17" s="43">
        <v>0</v>
      </c>
      <c r="W17" s="35">
        <f t="shared" si="0"/>
        <v>3065752</v>
      </c>
      <c r="X17" s="36">
        <v>8756243</v>
      </c>
      <c r="Y17" s="36">
        <v>0</v>
      </c>
      <c r="Z17" s="35">
        <f t="shared" si="4"/>
        <v>8756243</v>
      </c>
      <c r="AA17" s="36"/>
      <c r="AB17" s="36">
        <v>398356</v>
      </c>
      <c r="AC17" s="36">
        <v>7497363</v>
      </c>
      <c r="AD17" s="36">
        <v>3934470</v>
      </c>
      <c r="AE17" s="35">
        <f t="shared" si="5"/>
        <v>11431833</v>
      </c>
      <c r="AF17" s="36">
        <v>2869206</v>
      </c>
      <c r="AG17" s="36">
        <v>534884</v>
      </c>
      <c r="AH17" s="36">
        <v>0</v>
      </c>
      <c r="AI17" s="36"/>
      <c r="AJ17" s="39">
        <v>106686</v>
      </c>
      <c r="AK17" s="36">
        <v>8156252</v>
      </c>
      <c r="AL17" s="36">
        <v>1433139</v>
      </c>
      <c r="AM17" s="36">
        <v>0</v>
      </c>
      <c r="AN17" s="43"/>
      <c r="AO17" s="36">
        <v>0</v>
      </c>
      <c r="AP17" s="43">
        <v>0</v>
      </c>
      <c r="AQ17" s="43"/>
      <c r="AR17" s="43">
        <v>0</v>
      </c>
      <c r="AS17" s="36">
        <v>3529718</v>
      </c>
      <c r="AT17" s="46">
        <f t="shared" si="6"/>
        <v>209529778</v>
      </c>
      <c r="AU17" s="46">
        <f t="shared" si="7"/>
        <v>8909843</v>
      </c>
      <c r="AV17" s="70">
        <f t="shared" si="8"/>
        <v>226595873</v>
      </c>
      <c r="AW17" s="2" t="s">
        <v>53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13.5" customHeight="1">
      <c r="A18" s="1">
        <v>1869</v>
      </c>
      <c r="D18" s="36">
        <v>2846104</v>
      </c>
      <c r="E18" s="36">
        <v>42880595</v>
      </c>
      <c r="F18" s="36">
        <v>0</v>
      </c>
      <c r="G18" s="36">
        <v>4826267</v>
      </c>
      <c r="H18" s="36">
        <v>8208262</v>
      </c>
      <c r="I18" s="46">
        <f t="shared" si="1"/>
        <v>55915124</v>
      </c>
      <c r="J18" s="36">
        <v>1072982</v>
      </c>
      <c r="K18" s="36">
        <v>5234052</v>
      </c>
      <c r="L18" s="36">
        <v>4761222</v>
      </c>
      <c r="M18" s="36">
        <v>122681352</v>
      </c>
      <c r="N18" s="36">
        <v>0</v>
      </c>
      <c r="O18" s="35">
        <f t="shared" si="2"/>
        <v>122681352</v>
      </c>
      <c r="P18" s="36">
        <v>22291635</v>
      </c>
      <c r="Q18" s="36">
        <v>287200</v>
      </c>
      <c r="R18" s="35">
        <f t="shared" si="3"/>
        <v>22578835</v>
      </c>
      <c r="S18" s="36">
        <v>634119</v>
      </c>
      <c r="T18" s="36">
        <v>354130</v>
      </c>
      <c r="U18" s="36">
        <v>3595594</v>
      </c>
      <c r="V18" s="43">
        <v>0</v>
      </c>
      <c r="W18" s="35">
        <f t="shared" si="0"/>
        <v>3595594</v>
      </c>
      <c r="X18" s="36">
        <v>10015499</v>
      </c>
      <c r="Y18" s="36">
        <v>0</v>
      </c>
      <c r="Z18" s="35">
        <f t="shared" si="4"/>
        <v>10015499</v>
      </c>
      <c r="AA18" s="36"/>
      <c r="AB18" s="36">
        <v>506171</v>
      </c>
      <c r="AC18" s="36">
        <v>9405299</v>
      </c>
      <c r="AD18" s="36">
        <v>3041154</v>
      </c>
      <c r="AE18" s="35">
        <f t="shared" si="5"/>
        <v>12446453</v>
      </c>
      <c r="AF18" s="36">
        <v>6619413</v>
      </c>
      <c r="AG18" s="36">
        <v>1056345</v>
      </c>
      <c r="AH18" s="36">
        <v>0</v>
      </c>
      <c r="AI18" s="36"/>
      <c r="AJ18" s="39">
        <v>105684</v>
      </c>
      <c r="AK18" s="36">
        <v>9413037</v>
      </c>
      <c r="AL18" s="36">
        <v>1398437</v>
      </c>
      <c r="AM18" s="36">
        <v>0</v>
      </c>
      <c r="AN18" s="43"/>
      <c r="AO18" s="43"/>
      <c r="AP18" s="43">
        <v>0</v>
      </c>
      <c r="AQ18" s="36"/>
      <c r="AR18" s="43">
        <v>0</v>
      </c>
      <c r="AS18" s="36">
        <v>3207585</v>
      </c>
      <c r="AT18" s="46">
        <f t="shared" si="6"/>
        <v>247094725</v>
      </c>
      <c r="AU18" s="46">
        <f t="shared" si="7"/>
        <v>7934376</v>
      </c>
      <c r="AV18" s="70">
        <f t="shared" si="8"/>
        <v>264442138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13.5" customHeight="1">
      <c r="A19" s="1">
        <v>1870</v>
      </c>
      <c r="D19" s="36">
        <v>3775317</v>
      </c>
      <c r="E19" s="36">
        <v>67724468</v>
      </c>
      <c r="F19" s="36">
        <v>0</v>
      </c>
      <c r="G19" s="36">
        <v>2057084</v>
      </c>
      <c r="H19" s="36">
        <v>6292954</v>
      </c>
      <c r="I19" s="46">
        <f t="shared" si="1"/>
        <v>76074506</v>
      </c>
      <c r="J19" s="36">
        <v>2688643</v>
      </c>
      <c r="K19" s="36">
        <v>8396669</v>
      </c>
      <c r="L19" s="36">
        <v>7270481</v>
      </c>
      <c r="M19" s="36">
        <v>170060769</v>
      </c>
      <c r="N19" s="36">
        <v>9440</v>
      </c>
      <c r="O19" s="35">
        <f t="shared" si="2"/>
        <v>170070209</v>
      </c>
      <c r="P19" s="36">
        <v>34146667</v>
      </c>
      <c r="Q19" s="36">
        <v>252783</v>
      </c>
      <c r="R19" s="35">
        <f t="shared" si="3"/>
        <v>34399450</v>
      </c>
      <c r="S19" s="36">
        <v>760465</v>
      </c>
      <c r="T19" s="36">
        <v>390993</v>
      </c>
      <c r="U19" s="36">
        <v>8715951</v>
      </c>
      <c r="V19" s="43">
        <v>0</v>
      </c>
      <c r="W19" s="35">
        <f t="shared" si="0"/>
        <v>8715951</v>
      </c>
      <c r="X19" s="36">
        <v>14129547</v>
      </c>
      <c r="Y19" s="36">
        <v>0</v>
      </c>
      <c r="Z19" s="35">
        <f t="shared" si="4"/>
        <v>14129547</v>
      </c>
      <c r="AA19" s="36"/>
      <c r="AB19" s="36">
        <v>2351699</v>
      </c>
      <c r="AC19" s="36">
        <v>9558825</v>
      </c>
      <c r="AD19" s="36">
        <v>2863985</v>
      </c>
      <c r="AE19" s="35">
        <f t="shared" si="5"/>
        <v>12422810</v>
      </c>
      <c r="AF19" s="36">
        <v>3083142</v>
      </c>
      <c r="AG19" s="36">
        <v>949185</v>
      </c>
      <c r="AH19" s="36">
        <v>0</v>
      </c>
      <c r="AI19" s="36"/>
      <c r="AJ19" s="39">
        <v>499799</v>
      </c>
      <c r="AK19" s="36">
        <v>8725895</v>
      </c>
      <c r="AL19" s="36">
        <v>1669370</v>
      </c>
      <c r="AM19" s="36">
        <v>21732</v>
      </c>
      <c r="AN19" s="43"/>
      <c r="AO19" s="36"/>
      <c r="AP19" s="43">
        <v>0</v>
      </c>
      <c r="AQ19" s="36"/>
      <c r="AR19" s="43">
        <v>0</v>
      </c>
      <c r="AS19" s="36">
        <v>3561924</v>
      </c>
      <c r="AT19" s="46">
        <f t="shared" si="6"/>
        <v>342852658</v>
      </c>
      <c r="AU19" s="46">
        <f t="shared" si="7"/>
        <v>8379234</v>
      </c>
      <c r="AV19" s="70">
        <f t="shared" si="8"/>
        <v>359957787</v>
      </c>
      <c r="AW19" s="2" t="s">
        <v>52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13.5" customHeight="1">
      <c r="A20" s="1">
        <v>1871</v>
      </c>
      <c r="D20" s="36">
        <v>4963329</v>
      </c>
      <c r="E20" s="36">
        <v>61828563</v>
      </c>
      <c r="F20" s="36">
        <v>0</v>
      </c>
      <c r="G20" s="36">
        <v>3164577</v>
      </c>
      <c r="H20" s="34">
        <v>9917767</v>
      </c>
      <c r="I20" s="46">
        <f>SUM(E20:H20)</f>
        <v>74910907</v>
      </c>
      <c r="J20" s="36">
        <v>2607135</v>
      </c>
      <c r="K20" s="36">
        <v>14824486</v>
      </c>
      <c r="L20" s="36">
        <v>9541972</v>
      </c>
      <c r="M20" s="36">
        <v>171777620</v>
      </c>
      <c r="N20" s="36">
        <v>32925</v>
      </c>
      <c r="O20" s="35">
        <f>M20+N20</f>
        <v>171810545</v>
      </c>
      <c r="P20" s="36">
        <v>33978079</v>
      </c>
      <c r="Q20" s="36">
        <v>487376</v>
      </c>
      <c r="R20" s="35">
        <f>P20+Q20</f>
        <v>34465455</v>
      </c>
      <c r="S20" s="36">
        <v>657657</v>
      </c>
      <c r="T20" s="36">
        <v>378150</v>
      </c>
      <c r="U20" s="36">
        <v>8428788</v>
      </c>
      <c r="V20" s="43">
        <v>0</v>
      </c>
      <c r="W20" s="35">
        <f t="shared" si="0"/>
        <v>8428788</v>
      </c>
      <c r="X20" s="36">
        <v>13859847</v>
      </c>
      <c r="Y20" s="36">
        <v>0</v>
      </c>
      <c r="Z20" s="35">
        <f aca="true" t="shared" si="9" ref="Z20:Z31">X20+Y20</f>
        <v>13859847</v>
      </c>
      <c r="AA20" s="36"/>
      <c r="AB20" s="36">
        <v>1856705</v>
      </c>
      <c r="AC20" s="36">
        <v>10190206</v>
      </c>
      <c r="AD20" s="36">
        <v>3469414</v>
      </c>
      <c r="AE20" s="35">
        <f t="shared" si="5"/>
        <v>13659620</v>
      </c>
      <c r="AF20" s="36">
        <v>2428098</v>
      </c>
      <c r="AG20" s="36">
        <v>864840</v>
      </c>
      <c r="AH20" s="36">
        <v>0</v>
      </c>
      <c r="AI20" s="36"/>
      <c r="AJ20" s="40">
        <v>1490193</v>
      </c>
      <c r="AK20" s="34">
        <v>7609272</v>
      </c>
      <c r="AL20" s="36">
        <v>1429368</v>
      </c>
      <c r="AM20" s="36">
        <v>2966</v>
      </c>
      <c r="AN20" s="43"/>
      <c r="AO20" s="36"/>
      <c r="AP20" s="43">
        <v>0</v>
      </c>
      <c r="AQ20" s="36"/>
      <c r="AR20" s="43">
        <v>0</v>
      </c>
      <c r="AS20" s="36">
        <v>3481977</v>
      </c>
      <c r="AT20" s="46">
        <f t="shared" si="6"/>
        <v>352758012</v>
      </c>
      <c r="AU20" s="46">
        <f t="shared" si="7"/>
        <v>8904026</v>
      </c>
      <c r="AV20" s="70">
        <f>AT20+AU20+AK20</f>
        <v>369271310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13.5" customHeight="1">
      <c r="A21" s="1">
        <v>1872</v>
      </c>
      <c r="D21" s="36">
        <v>5442291</v>
      </c>
      <c r="E21" s="36">
        <v>64854641</v>
      </c>
      <c r="F21" s="36">
        <v>0</v>
      </c>
      <c r="G21" s="36">
        <v>3468056</v>
      </c>
      <c r="H21" s="36">
        <v>8995764</v>
      </c>
      <c r="I21" s="46">
        <f aca="true" t="shared" si="10" ref="I21:I31">SUM(E21:H21)</f>
        <v>77318461</v>
      </c>
      <c r="J21" s="36">
        <v>6802189</v>
      </c>
      <c r="K21" s="36">
        <v>7487467</v>
      </c>
      <c r="L21" s="36">
        <v>6906648</v>
      </c>
      <c r="M21" s="36">
        <v>143305877</v>
      </c>
      <c r="N21" s="36">
        <v>252958</v>
      </c>
      <c r="O21" s="35">
        <f aca="true" t="shared" si="11" ref="O21:O31">M21+N21</f>
        <v>143558835</v>
      </c>
      <c r="P21" s="36">
        <v>22330557</v>
      </c>
      <c r="Q21" s="36">
        <v>1003701</v>
      </c>
      <c r="R21" s="35">
        <f aca="true" t="shared" si="12" ref="R21:R31">P21+Q21</f>
        <v>23334258</v>
      </c>
      <c r="S21" s="36">
        <v>569571</v>
      </c>
      <c r="T21" s="36">
        <v>109040</v>
      </c>
      <c r="U21" s="36">
        <v>8980088</v>
      </c>
      <c r="V21" s="43">
        <v>0</v>
      </c>
      <c r="W21" s="35">
        <f t="shared" si="0"/>
        <v>8980088</v>
      </c>
      <c r="X21" s="36">
        <v>19559344</v>
      </c>
      <c r="Y21" s="36">
        <v>0</v>
      </c>
      <c r="Z21" s="35">
        <f t="shared" si="9"/>
        <v>19559344</v>
      </c>
      <c r="AA21" s="36"/>
      <c r="AB21" s="36">
        <v>1235030</v>
      </c>
      <c r="AC21" s="36">
        <v>6028175</v>
      </c>
      <c r="AD21" s="36">
        <v>3552145</v>
      </c>
      <c r="AE21" s="35">
        <f aca="true" t="shared" si="13" ref="AE21:AE31">AC21+AD21</f>
        <v>9580320</v>
      </c>
      <c r="AF21" s="36">
        <v>2867463</v>
      </c>
      <c r="AG21" s="36">
        <v>1078365</v>
      </c>
      <c r="AH21" s="36">
        <v>0</v>
      </c>
      <c r="AI21" s="36"/>
      <c r="AJ21" s="40">
        <v>1532314</v>
      </c>
      <c r="AK21" s="34">
        <v>6156348</v>
      </c>
      <c r="AL21" s="36">
        <v>1693379</v>
      </c>
      <c r="AM21" s="36">
        <v>4286</v>
      </c>
      <c r="AN21" s="43"/>
      <c r="AO21" s="36"/>
      <c r="AP21" s="43">
        <v>0</v>
      </c>
      <c r="AQ21" s="36"/>
      <c r="AR21" s="43">
        <v>0</v>
      </c>
      <c r="AS21" s="36">
        <v>2825231</v>
      </c>
      <c r="AT21" s="46">
        <f t="shared" si="6"/>
        <v>311552880</v>
      </c>
      <c r="AU21" s="46">
        <f t="shared" si="7"/>
        <v>9331700</v>
      </c>
      <c r="AV21" s="70">
        <f aca="true" t="shared" si="14" ref="AV21:AV31">AT21+AU21+AK21</f>
        <v>327040928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13.5" customHeight="1">
      <c r="A22" s="1">
        <v>1873</v>
      </c>
      <c r="D22" s="36">
        <v>6457271</v>
      </c>
      <c r="E22" s="36">
        <v>88727418</v>
      </c>
      <c r="F22" s="34">
        <v>0</v>
      </c>
      <c r="G22" s="36">
        <v>6258088</v>
      </c>
      <c r="H22" s="36">
        <v>15006409</v>
      </c>
      <c r="I22" s="46">
        <f t="shared" si="10"/>
        <v>109991915</v>
      </c>
      <c r="J22" s="36">
        <v>4653502</v>
      </c>
      <c r="K22" s="36">
        <v>18464589</v>
      </c>
      <c r="L22" s="36">
        <v>9173624</v>
      </c>
      <c r="M22" s="36">
        <v>129176489</v>
      </c>
      <c r="N22" s="36">
        <v>280248</v>
      </c>
      <c r="O22" s="35">
        <f t="shared" si="11"/>
        <v>129456737</v>
      </c>
      <c r="P22" s="36">
        <v>26528078</v>
      </c>
      <c r="Q22" s="36">
        <v>1575128</v>
      </c>
      <c r="R22" s="35">
        <f t="shared" si="12"/>
        <v>28103206</v>
      </c>
      <c r="S22" s="36">
        <v>616184</v>
      </c>
      <c r="T22" s="36">
        <v>137119</v>
      </c>
      <c r="U22" s="36">
        <v>7046157</v>
      </c>
      <c r="V22" s="43">
        <v>0</v>
      </c>
      <c r="W22" s="35">
        <f t="shared" si="0"/>
        <v>7046157</v>
      </c>
      <c r="X22" s="36">
        <v>25464275</v>
      </c>
      <c r="Y22" s="36">
        <v>0</v>
      </c>
      <c r="Z22" s="35">
        <f t="shared" si="9"/>
        <v>25464275</v>
      </c>
      <c r="AA22" s="36"/>
      <c r="AB22" s="36">
        <v>508186</v>
      </c>
      <c r="AC22" s="36">
        <v>4480476</v>
      </c>
      <c r="AD22" s="36">
        <v>2520982</v>
      </c>
      <c r="AE22" s="35">
        <f t="shared" si="13"/>
        <v>7001458</v>
      </c>
      <c r="AF22" s="36">
        <v>1411270</v>
      </c>
      <c r="AG22" s="36">
        <v>1314082</v>
      </c>
      <c r="AH22" s="36">
        <v>0</v>
      </c>
      <c r="AI22" s="36"/>
      <c r="AJ22" s="40">
        <v>435342</v>
      </c>
      <c r="AK22" s="34">
        <v>8814206</v>
      </c>
      <c r="AL22" s="36">
        <v>1819516</v>
      </c>
      <c r="AM22" s="36">
        <v>0</v>
      </c>
      <c r="AN22" s="43"/>
      <c r="AO22" s="36"/>
      <c r="AP22" s="43">
        <v>0</v>
      </c>
      <c r="AQ22" s="36"/>
      <c r="AR22" s="43">
        <v>0</v>
      </c>
      <c r="AS22" s="36">
        <v>3561182</v>
      </c>
      <c r="AT22" s="46">
        <f t="shared" si="6"/>
        <v>345858559</v>
      </c>
      <c r="AU22" s="46">
        <f t="shared" si="7"/>
        <v>9757056</v>
      </c>
      <c r="AV22" s="70">
        <f t="shared" si="14"/>
        <v>364429821</v>
      </c>
      <c r="AW22" s="2" t="s">
        <v>54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13.5" customHeight="1">
      <c r="A23" s="1">
        <v>1874</v>
      </c>
      <c r="D23" s="36">
        <v>11920953</v>
      </c>
      <c r="E23" s="36">
        <v>105691528</v>
      </c>
      <c r="F23" s="34">
        <v>0</v>
      </c>
      <c r="G23" s="36">
        <v>11107527</v>
      </c>
      <c r="H23" s="36">
        <v>19667395</v>
      </c>
      <c r="I23" s="46">
        <f t="shared" si="10"/>
        <v>136466450</v>
      </c>
      <c r="J23" s="36">
        <v>6601372</v>
      </c>
      <c r="K23" s="36">
        <v>18826684</v>
      </c>
      <c r="L23" s="36">
        <v>9801665</v>
      </c>
      <c r="M23" s="36">
        <v>136461698</v>
      </c>
      <c r="N23" s="36">
        <v>187308</v>
      </c>
      <c r="O23" s="35">
        <f t="shared" si="11"/>
        <v>136649006</v>
      </c>
      <c r="P23" s="36">
        <v>33056382</v>
      </c>
      <c r="Q23" s="36">
        <v>3057638</v>
      </c>
      <c r="R23" s="35">
        <f t="shared" si="12"/>
        <v>36114020</v>
      </c>
      <c r="S23" s="36">
        <v>519979</v>
      </c>
      <c r="T23" s="36">
        <v>925</v>
      </c>
      <c r="U23" s="36">
        <v>8696999</v>
      </c>
      <c r="V23" s="43">
        <v>0</v>
      </c>
      <c r="W23" s="35">
        <f t="shared" si="0"/>
        <v>8696999</v>
      </c>
      <c r="X23" s="36">
        <v>33414979</v>
      </c>
      <c r="Y23" s="36">
        <v>0</v>
      </c>
      <c r="Z23" s="35">
        <f t="shared" si="9"/>
        <v>33414979</v>
      </c>
      <c r="AA23" s="36"/>
      <c r="AB23" s="36">
        <v>1418132</v>
      </c>
      <c r="AC23" s="36">
        <v>10816986</v>
      </c>
      <c r="AD23" s="36">
        <v>2081863</v>
      </c>
      <c r="AE23" s="35">
        <f t="shared" si="13"/>
        <v>12898849</v>
      </c>
      <c r="AF23" s="36">
        <v>1824485</v>
      </c>
      <c r="AG23" s="36">
        <v>1078127</v>
      </c>
      <c r="AH23" s="36">
        <v>0</v>
      </c>
      <c r="AI23" s="36"/>
      <c r="AJ23" s="40">
        <v>305828</v>
      </c>
      <c r="AK23" s="34">
        <v>10296685</v>
      </c>
      <c r="AL23" s="36">
        <v>1845762</v>
      </c>
      <c r="AM23" s="36">
        <v>6166</v>
      </c>
      <c r="AN23" s="43"/>
      <c r="AO23" s="36"/>
      <c r="AP23" s="43">
        <v>0</v>
      </c>
      <c r="AQ23" s="36"/>
      <c r="AR23" s="43">
        <v>0</v>
      </c>
      <c r="AS23" s="36">
        <v>3124910</v>
      </c>
      <c r="AT23" s="46">
        <f t="shared" si="6"/>
        <v>411211644</v>
      </c>
      <c r="AU23" s="46">
        <f t="shared" si="7"/>
        <v>10303647</v>
      </c>
      <c r="AV23" s="70">
        <f t="shared" si="14"/>
        <v>431811976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13.5" customHeight="1">
      <c r="A24" s="1">
        <v>1875</v>
      </c>
      <c r="D24" s="36">
        <v>8763687</v>
      </c>
      <c r="E24" s="36">
        <v>90531247</v>
      </c>
      <c r="F24" s="43">
        <v>0</v>
      </c>
      <c r="G24" s="36">
        <v>2497033</v>
      </c>
      <c r="H24" s="36">
        <v>16869266</v>
      </c>
      <c r="I24" s="46">
        <f t="shared" si="10"/>
        <v>109897546</v>
      </c>
      <c r="J24" s="36">
        <v>3577619</v>
      </c>
      <c r="K24" s="36">
        <v>18407773</v>
      </c>
      <c r="L24" s="36">
        <v>11591950</v>
      </c>
      <c r="M24" s="36">
        <v>130759436</v>
      </c>
      <c r="N24" s="36">
        <v>328558</v>
      </c>
      <c r="O24" s="35">
        <f t="shared" si="11"/>
        <v>131087994</v>
      </c>
      <c r="P24" s="36">
        <v>37558640</v>
      </c>
      <c r="Q24" s="36">
        <v>2504503</v>
      </c>
      <c r="R24" s="35">
        <f t="shared" si="12"/>
        <v>40063143</v>
      </c>
      <c r="S24" s="36">
        <v>756750</v>
      </c>
      <c r="T24" s="36">
        <v>156060</v>
      </c>
      <c r="U24" s="36">
        <v>6595480</v>
      </c>
      <c r="V24" s="43">
        <v>0</v>
      </c>
      <c r="W24" s="35">
        <f t="shared" si="0"/>
        <v>6595480</v>
      </c>
      <c r="X24" s="36">
        <v>16633505</v>
      </c>
      <c r="Y24" s="43">
        <v>0</v>
      </c>
      <c r="Z24" s="35">
        <f t="shared" si="9"/>
        <v>16633505</v>
      </c>
      <c r="AA24" s="36"/>
      <c r="AB24" s="36">
        <v>1533559</v>
      </c>
      <c r="AC24" s="36">
        <v>10493580</v>
      </c>
      <c r="AD24" s="36">
        <v>2320161</v>
      </c>
      <c r="AE24" s="35">
        <f t="shared" si="13"/>
        <v>12813741</v>
      </c>
      <c r="AF24" s="36">
        <v>1599987</v>
      </c>
      <c r="AG24" s="36">
        <v>696473</v>
      </c>
      <c r="AH24" s="43"/>
      <c r="AI24" s="36"/>
      <c r="AJ24" s="39">
        <v>1579106</v>
      </c>
      <c r="AK24" s="36">
        <v>11769696</v>
      </c>
      <c r="AL24" s="36">
        <v>1873530</v>
      </c>
      <c r="AM24" s="43">
        <v>0</v>
      </c>
      <c r="AN24" s="43"/>
      <c r="AO24" s="36"/>
      <c r="AP24" s="43">
        <v>0</v>
      </c>
      <c r="AQ24" s="36"/>
      <c r="AR24" s="43">
        <v>0</v>
      </c>
      <c r="AS24" s="36">
        <v>2554204</v>
      </c>
      <c r="AT24" s="46">
        <f t="shared" si="6"/>
        <v>360601151</v>
      </c>
      <c r="AU24" s="46">
        <f t="shared" si="7"/>
        <v>9580956</v>
      </c>
      <c r="AV24" s="70">
        <f t="shared" si="14"/>
        <v>381951803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13.5" customHeight="1">
      <c r="A25" s="1">
        <v>1876</v>
      </c>
      <c r="D25" s="36">
        <v>9035447</v>
      </c>
      <c r="E25" s="36">
        <v>91628888</v>
      </c>
      <c r="F25" s="43">
        <v>0</v>
      </c>
      <c r="G25" s="36">
        <v>2407211</v>
      </c>
      <c r="H25" s="36">
        <v>26461547</v>
      </c>
      <c r="I25" s="46">
        <f t="shared" si="10"/>
        <v>120497646</v>
      </c>
      <c r="J25" s="36">
        <v>5477351</v>
      </c>
      <c r="K25" s="36">
        <v>24810778</v>
      </c>
      <c r="L25" s="36">
        <v>11601627</v>
      </c>
      <c r="M25" s="36">
        <v>132296975</v>
      </c>
      <c r="N25" s="36">
        <v>432823</v>
      </c>
      <c r="O25" s="35">
        <f t="shared" si="11"/>
        <v>132729798</v>
      </c>
      <c r="P25" s="36">
        <v>29993482</v>
      </c>
      <c r="Q25" s="36">
        <v>2706500</v>
      </c>
      <c r="R25" s="35">
        <f t="shared" si="12"/>
        <v>32699982</v>
      </c>
      <c r="S25" s="36">
        <v>458353</v>
      </c>
      <c r="T25" s="36">
        <v>49000</v>
      </c>
      <c r="U25" s="36">
        <v>6148208</v>
      </c>
      <c r="V25" s="43">
        <v>0</v>
      </c>
      <c r="W25" s="35">
        <f t="shared" si="0"/>
        <v>6148208</v>
      </c>
      <c r="X25" s="36">
        <v>26605250</v>
      </c>
      <c r="Y25" s="43">
        <v>0</v>
      </c>
      <c r="Z25" s="35">
        <f t="shared" si="9"/>
        <v>26605250</v>
      </c>
      <c r="AA25" s="36"/>
      <c r="AB25" s="36">
        <v>1440104</v>
      </c>
      <c r="AC25" s="36">
        <v>7018862</v>
      </c>
      <c r="AD25" s="36">
        <v>2074578</v>
      </c>
      <c r="AE25" s="35">
        <f t="shared" si="13"/>
        <v>9093440</v>
      </c>
      <c r="AF25" s="36">
        <v>1915698</v>
      </c>
      <c r="AG25" s="36">
        <v>504856</v>
      </c>
      <c r="AH25" s="43"/>
      <c r="AI25" s="36"/>
      <c r="AJ25" s="39">
        <v>1404125</v>
      </c>
      <c r="AK25" s="36">
        <v>12027782</v>
      </c>
      <c r="AL25" s="36">
        <v>1676563</v>
      </c>
      <c r="AM25" s="43">
        <v>0</v>
      </c>
      <c r="AN25" s="43"/>
      <c r="AO25" s="36"/>
      <c r="AP25" s="43">
        <v>0</v>
      </c>
      <c r="AQ25" s="36"/>
      <c r="AR25" s="43">
        <v>0</v>
      </c>
      <c r="AS25" s="36">
        <v>2524441</v>
      </c>
      <c r="AT25" s="46">
        <f t="shared" si="6"/>
        <v>379257762</v>
      </c>
      <c r="AU25" s="46">
        <f t="shared" si="7"/>
        <v>9414905</v>
      </c>
      <c r="AV25" s="70">
        <f t="shared" si="14"/>
        <v>400700449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3.5" customHeight="1">
      <c r="A26" s="1">
        <v>1877</v>
      </c>
      <c r="D26" s="36">
        <v>20010241</v>
      </c>
      <c r="E26" s="36">
        <v>162853797</v>
      </c>
      <c r="F26" s="43">
        <v>0</v>
      </c>
      <c r="G26" s="36">
        <v>4417976</v>
      </c>
      <c r="H26" s="36">
        <v>29459023</v>
      </c>
      <c r="I26" s="46">
        <f t="shared" si="10"/>
        <v>196730796</v>
      </c>
      <c r="J26" s="36">
        <v>6647683</v>
      </c>
      <c r="K26" s="36">
        <v>38745715</v>
      </c>
      <c r="L26" s="36">
        <v>13168709</v>
      </c>
      <c r="M26" s="36">
        <v>148452882</v>
      </c>
      <c r="N26" s="43">
        <v>0</v>
      </c>
      <c r="O26" s="35">
        <f t="shared" si="11"/>
        <v>148452882</v>
      </c>
      <c r="P26" s="36">
        <v>24033665</v>
      </c>
      <c r="Q26" s="36">
        <v>564379</v>
      </c>
      <c r="R26" s="35">
        <f t="shared" si="12"/>
        <v>24598044</v>
      </c>
      <c r="S26" s="36">
        <v>549605</v>
      </c>
      <c r="T26" s="36">
        <v>0</v>
      </c>
      <c r="U26" s="36">
        <v>2048605</v>
      </c>
      <c r="V26" s="43">
        <v>0</v>
      </c>
      <c r="W26" s="35">
        <f t="shared" si="0"/>
        <v>2048605</v>
      </c>
      <c r="X26" s="36">
        <v>49820044</v>
      </c>
      <c r="Y26" s="43">
        <v>0</v>
      </c>
      <c r="Z26" s="35">
        <f t="shared" si="9"/>
        <v>49820044</v>
      </c>
      <c r="AA26" s="36"/>
      <c r="AB26" s="36">
        <v>509608</v>
      </c>
      <c r="AC26" s="36">
        <v>3448748</v>
      </c>
      <c r="AD26" s="36">
        <v>129079</v>
      </c>
      <c r="AE26" s="35">
        <f t="shared" si="13"/>
        <v>3577827</v>
      </c>
      <c r="AF26" s="36">
        <v>3431740</v>
      </c>
      <c r="AG26" s="36">
        <v>652683</v>
      </c>
      <c r="AH26" s="43"/>
      <c r="AI26" s="36"/>
      <c r="AJ26" s="39">
        <v>31579</v>
      </c>
      <c r="AK26" s="36">
        <v>12751988</v>
      </c>
      <c r="AL26" s="36">
        <v>3164351</v>
      </c>
      <c r="AM26" s="43">
        <v>0</v>
      </c>
      <c r="AN26" s="43"/>
      <c r="AO26" s="36"/>
      <c r="AP26" s="43">
        <v>0</v>
      </c>
      <c r="AQ26" s="36"/>
      <c r="AR26" s="43">
        <v>0</v>
      </c>
      <c r="AS26" s="36">
        <v>3043726</v>
      </c>
      <c r="AT26" s="46">
        <f t="shared" si="6"/>
        <v>508282303</v>
      </c>
      <c r="AU26" s="46">
        <f t="shared" si="7"/>
        <v>6901535</v>
      </c>
      <c r="AV26" s="70">
        <f t="shared" si="14"/>
        <v>527935826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13.5" customHeight="1">
      <c r="A27" s="1">
        <v>1878</v>
      </c>
      <c r="D27" s="36">
        <v>14082854</v>
      </c>
      <c r="E27" s="36">
        <v>147037190</v>
      </c>
      <c r="F27" s="43">
        <v>0</v>
      </c>
      <c r="G27" s="36">
        <v>2026376</v>
      </c>
      <c r="H27" s="36">
        <v>26299484</v>
      </c>
      <c r="I27" s="46">
        <f t="shared" si="10"/>
        <v>175363050</v>
      </c>
      <c r="J27" s="36">
        <v>5742990</v>
      </c>
      <c r="K27" s="36">
        <v>32337212</v>
      </c>
      <c r="L27" s="36">
        <v>15071987</v>
      </c>
      <c r="M27" s="36">
        <v>191107407</v>
      </c>
      <c r="N27" s="36">
        <v>120388</v>
      </c>
      <c r="O27" s="35">
        <f t="shared" si="11"/>
        <v>191227795</v>
      </c>
      <c r="P27" s="36">
        <v>82734924</v>
      </c>
      <c r="Q27" s="36">
        <v>3503555</v>
      </c>
      <c r="R27" s="35">
        <f t="shared" si="12"/>
        <v>86238479</v>
      </c>
      <c r="S27" s="36">
        <v>639877</v>
      </c>
      <c r="T27" s="36">
        <v>861890</v>
      </c>
      <c r="U27" s="36">
        <v>14802048</v>
      </c>
      <c r="V27" s="43">
        <v>0</v>
      </c>
      <c r="W27" s="35">
        <f t="shared" si="0"/>
        <v>14802048</v>
      </c>
      <c r="X27" s="36">
        <v>40289169</v>
      </c>
      <c r="Y27" s="43">
        <v>0</v>
      </c>
      <c r="Z27" s="35">
        <f t="shared" si="9"/>
        <v>40289169</v>
      </c>
      <c r="AA27" s="36"/>
      <c r="AB27" s="36">
        <v>2623464</v>
      </c>
      <c r="AC27" s="36">
        <v>15766251</v>
      </c>
      <c r="AD27" s="36">
        <v>957350</v>
      </c>
      <c r="AE27" s="35">
        <f t="shared" si="13"/>
        <v>16723601</v>
      </c>
      <c r="AF27" s="36">
        <v>4584848</v>
      </c>
      <c r="AG27" s="36">
        <v>331092</v>
      </c>
      <c r="AH27" s="39">
        <v>102700</v>
      </c>
      <c r="AI27" s="36"/>
      <c r="AJ27" s="39">
        <v>102678</v>
      </c>
      <c r="AK27" s="36">
        <v>12331031</v>
      </c>
      <c r="AL27" s="36">
        <v>2649598</v>
      </c>
      <c r="AM27" s="43">
        <v>0</v>
      </c>
      <c r="AN27" s="43"/>
      <c r="AO27" s="36"/>
      <c r="AP27" s="43">
        <v>0</v>
      </c>
      <c r="AQ27" s="36"/>
      <c r="AR27" s="43">
        <v>0</v>
      </c>
      <c r="AS27" s="36">
        <v>2059321</v>
      </c>
      <c r="AT27" s="46">
        <f t="shared" si="6"/>
        <v>596544441</v>
      </c>
      <c r="AU27" s="46">
        <f t="shared" si="7"/>
        <v>9290212</v>
      </c>
      <c r="AV27" s="70">
        <f t="shared" si="14"/>
        <v>618165684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13.5" customHeight="1">
      <c r="A28" s="1">
        <v>1879</v>
      </c>
      <c r="D28" s="36">
        <v>12198053</v>
      </c>
      <c r="E28" s="36">
        <v>135793672</v>
      </c>
      <c r="F28" s="43">
        <v>0</v>
      </c>
      <c r="G28" s="36">
        <v>2516546</v>
      </c>
      <c r="H28" s="36">
        <v>48345398</v>
      </c>
      <c r="I28" s="46">
        <f t="shared" si="10"/>
        <v>186655616</v>
      </c>
      <c r="J28" s="36">
        <v>5206041</v>
      </c>
      <c r="K28" s="36">
        <v>38744509</v>
      </c>
      <c r="L28" s="36">
        <v>26800969</v>
      </c>
      <c r="M28" s="36">
        <v>184361656</v>
      </c>
      <c r="N28" s="36">
        <v>139335</v>
      </c>
      <c r="O28" s="35">
        <f t="shared" si="11"/>
        <v>184500991</v>
      </c>
      <c r="P28" s="36">
        <v>82659750</v>
      </c>
      <c r="Q28" s="36">
        <v>3384110</v>
      </c>
      <c r="R28" s="35">
        <f t="shared" si="12"/>
        <v>86043860</v>
      </c>
      <c r="S28" s="36">
        <v>378521</v>
      </c>
      <c r="T28" s="36">
        <v>268250</v>
      </c>
      <c r="U28" s="36">
        <v>12218222</v>
      </c>
      <c r="V28" s="43">
        <v>0</v>
      </c>
      <c r="W28" s="35">
        <f t="shared" si="0"/>
        <v>12218222</v>
      </c>
      <c r="X28" s="36">
        <v>32864727</v>
      </c>
      <c r="Y28" s="43">
        <v>0</v>
      </c>
      <c r="Z28" s="35">
        <f t="shared" si="9"/>
        <v>32864727</v>
      </c>
      <c r="AA28" s="36"/>
      <c r="AB28" s="36">
        <v>2150068</v>
      </c>
      <c r="AC28" s="36">
        <v>12290018</v>
      </c>
      <c r="AD28" s="36">
        <v>1578742</v>
      </c>
      <c r="AE28" s="35">
        <f t="shared" si="13"/>
        <v>13868760</v>
      </c>
      <c r="AF28" s="36">
        <v>9049837</v>
      </c>
      <c r="AG28" s="36">
        <v>273050</v>
      </c>
      <c r="AH28" s="43"/>
      <c r="AI28" s="36"/>
      <c r="AJ28" s="39">
        <v>294878</v>
      </c>
      <c r="AK28" s="36">
        <v>10847923</v>
      </c>
      <c r="AL28" s="36">
        <v>3422233</v>
      </c>
      <c r="AM28" s="43">
        <v>0</v>
      </c>
      <c r="AN28" s="43"/>
      <c r="AO28" s="36"/>
      <c r="AP28" s="43">
        <v>0</v>
      </c>
      <c r="AQ28" s="36"/>
      <c r="AR28" s="43">
        <v>0</v>
      </c>
      <c r="AS28" s="36">
        <v>1981936</v>
      </c>
      <c r="AT28" s="46">
        <f t="shared" si="6"/>
        <v>606414165</v>
      </c>
      <c r="AU28" s="46">
        <f t="shared" si="7"/>
        <v>10506356</v>
      </c>
      <c r="AV28" s="70">
        <f t="shared" si="14"/>
        <v>627768444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13.5" customHeight="1">
      <c r="A29" s="1">
        <v>1880</v>
      </c>
      <c r="D29" s="36">
        <v>12124688</v>
      </c>
      <c r="E29" s="36">
        <v>102543147</v>
      </c>
      <c r="F29" s="43">
        <v>0</v>
      </c>
      <c r="G29" s="36">
        <v>1938712</v>
      </c>
      <c r="H29" s="36">
        <v>33639760</v>
      </c>
      <c r="I29" s="46">
        <f t="shared" si="10"/>
        <v>138121619</v>
      </c>
      <c r="J29" s="36">
        <v>5766164</v>
      </c>
      <c r="K29" s="36">
        <v>28204578</v>
      </c>
      <c r="L29" s="36">
        <v>18899058</v>
      </c>
      <c r="M29" s="36">
        <v>148290175</v>
      </c>
      <c r="N29" s="36">
        <v>135640</v>
      </c>
      <c r="O29" s="35">
        <f t="shared" si="11"/>
        <v>148425815</v>
      </c>
      <c r="P29" s="36">
        <v>53245567</v>
      </c>
      <c r="Q29" s="36">
        <v>4353511</v>
      </c>
      <c r="R29" s="35">
        <f t="shared" si="12"/>
        <v>57599078</v>
      </c>
      <c r="S29" s="36">
        <v>420876</v>
      </c>
      <c r="T29" s="36">
        <v>85792</v>
      </c>
      <c r="U29" s="36">
        <v>5813541</v>
      </c>
      <c r="V29" s="43">
        <v>0</v>
      </c>
      <c r="W29" s="35">
        <f t="shared" si="0"/>
        <v>5813541</v>
      </c>
      <c r="X29" s="36">
        <v>32547299</v>
      </c>
      <c r="Y29" s="43">
        <v>0</v>
      </c>
      <c r="Z29" s="35">
        <f t="shared" si="9"/>
        <v>32547299</v>
      </c>
      <c r="AA29" s="36"/>
      <c r="AB29" s="36">
        <v>2211207</v>
      </c>
      <c r="AC29" s="36">
        <v>13583579</v>
      </c>
      <c r="AD29" s="36">
        <v>1759001</v>
      </c>
      <c r="AE29" s="35">
        <f t="shared" si="13"/>
        <v>15342580</v>
      </c>
      <c r="AF29" s="36">
        <v>9955595</v>
      </c>
      <c r="AG29" s="36">
        <v>5234257</v>
      </c>
      <c r="AH29" s="36">
        <v>4944</v>
      </c>
      <c r="AI29" s="36"/>
      <c r="AJ29" s="39">
        <v>1856479</v>
      </c>
      <c r="AK29" s="36">
        <v>9602070</v>
      </c>
      <c r="AL29" s="36">
        <v>3936914</v>
      </c>
      <c r="AM29" s="43">
        <v>0</v>
      </c>
      <c r="AN29" s="43"/>
      <c r="AO29" s="36"/>
      <c r="AP29" s="43">
        <v>0</v>
      </c>
      <c r="AQ29" s="36"/>
      <c r="AR29" s="43">
        <v>0</v>
      </c>
      <c r="AS29" s="36">
        <v>2519883</v>
      </c>
      <c r="AT29" s="46">
        <f t="shared" si="6"/>
        <v>476365418</v>
      </c>
      <c r="AU29" s="46">
        <f t="shared" si="7"/>
        <v>12704949</v>
      </c>
      <c r="AV29" s="70">
        <f t="shared" si="14"/>
        <v>498672437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3.5" customHeight="1">
      <c r="A30" s="1">
        <v>1881</v>
      </c>
      <c r="D30" s="36">
        <v>13287758</v>
      </c>
      <c r="E30" s="36">
        <v>121538314</v>
      </c>
      <c r="F30" s="43">
        <v>0</v>
      </c>
      <c r="G30" s="36">
        <v>5300249</v>
      </c>
      <c r="H30" s="36">
        <v>22042005</v>
      </c>
      <c r="I30" s="46">
        <f t="shared" si="10"/>
        <v>148880568</v>
      </c>
      <c r="J30" s="36">
        <v>2383275</v>
      </c>
      <c r="K30" s="36">
        <v>28388583</v>
      </c>
      <c r="L30" s="36">
        <v>23856614</v>
      </c>
      <c r="M30" s="36">
        <v>155795389</v>
      </c>
      <c r="N30" s="36">
        <v>252680</v>
      </c>
      <c r="O30" s="35">
        <f t="shared" si="11"/>
        <v>156048069</v>
      </c>
      <c r="P30" s="36">
        <v>53483407</v>
      </c>
      <c r="Q30" s="36">
        <v>3004773</v>
      </c>
      <c r="R30" s="35">
        <f t="shared" si="12"/>
        <v>56488180</v>
      </c>
      <c r="S30" s="36">
        <v>309851</v>
      </c>
      <c r="T30" s="36">
        <v>39000</v>
      </c>
      <c r="U30" s="36">
        <v>4719308</v>
      </c>
      <c r="V30" s="43">
        <v>0</v>
      </c>
      <c r="W30" s="35">
        <f t="shared" si="0"/>
        <v>4719308</v>
      </c>
      <c r="X30" s="36">
        <v>28105249</v>
      </c>
      <c r="Y30" s="43">
        <v>0</v>
      </c>
      <c r="Z30" s="35">
        <f t="shared" si="9"/>
        <v>28105249</v>
      </c>
      <c r="AA30" s="36"/>
      <c r="AB30" s="36">
        <v>1943345</v>
      </c>
      <c r="AC30" s="36">
        <v>9534080</v>
      </c>
      <c r="AD30" s="36">
        <v>3309543</v>
      </c>
      <c r="AE30" s="35">
        <f t="shared" si="13"/>
        <v>12843623</v>
      </c>
      <c r="AF30" s="36">
        <v>8160339</v>
      </c>
      <c r="AG30" s="36">
        <v>381173</v>
      </c>
      <c r="AH30" s="43"/>
      <c r="AI30" s="36"/>
      <c r="AJ30" s="39">
        <v>2098999</v>
      </c>
      <c r="AK30" s="36">
        <v>11988956</v>
      </c>
      <c r="AL30" s="36">
        <v>3868806</v>
      </c>
      <c r="AM30" s="43">
        <v>0</v>
      </c>
      <c r="AN30" s="43"/>
      <c r="AO30" s="36"/>
      <c r="AP30" s="43">
        <v>0</v>
      </c>
      <c r="AQ30" s="36"/>
      <c r="AR30" s="43">
        <v>0</v>
      </c>
      <c r="AS30" s="36">
        <v>2631133</v>
      </c>
      <c r="AT30" s="46">
        <f t="shared" si="6"/>
        <v>481366938</v>
      </c>
      <c r="AU30" s="46">
        <f t="shared" si="7"/>
        <v>13066935</v>
      </c>
      <c r="AV30" s="70">
        <f t="shared" si="14"/>
        <v>506422829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t="13.5" customHeight="1">
      <c r="A31" s="1">
        <v>1882</v>
      </c>
      <c r="D31" s="36">
        <v>12132915</v>
      </c>
      <c r="E31" s="43"/>
      <c r="F31" s="43"/>
      <c r="G31" s="36">
        <v>10313769</v>
      </c>
      <c r="H31" s="34">
        <v>167704974</v>
      </c>
      <c r="I31" s="46">
        <f t="shared" si="10"/>
        <v>178018743</v>
      </c>
      <c r="J31" s="36">
        <v>3460636</v>
      </c>
      <c r="K31" s="36">
        <v>29602862</v>
      </c>
      <c r="L31" s="36">
        <v>29056279</v>
      </c>
      <c r="M31" s="36">
        <v>210098843</v>
      </c>
      <c r="N31" s="36">
        <v>278450</v>
      </c>
      <c r="O31" s="35">
        <f t="shared" si="11"/>
        <v>210377293</v>
      </c>
      <c r="P31" s="36">
        <v>51251250</v>
      </c>
      <c r="Q31" s="36">
        <v>3190915</v>
      </c>
      <c r="R31" s="35">
        <f t="shared" si="12"/>
        <v>54442165</v>
      </c>
      <c r="S31" s="36">
        <v>296609</v>
      </c>
      <c r="T31" s="36">
        <v>865694</v>
      </c>
      <c r="U31" s="36">
        <v>8805772</v>
      </c>
      <c r="V31" s="36"/>
      <c r="W31" s="35">
        <f t="shared" si="0"/>
        <v>8805772</v>
      </c>
      <c r="X31" s="36">
        <v>33306890</v>
      </c>
      <c r="Y31" s="43">
        <v>0</v>
      </c>
      <c r="Z31" s="35">
        <f t="shared" si="9"/>
        <v>33306890</v>
      </c>
      <c r="AA31" s="36"/>
      <c r="AB31" s="36">
        <v>4513543</v>
      </c>
      <c r="AC31" s="36">
        <v>13944635</v>
      </c>
      <c r="AD31" s="36">
        <v>1713872</v>
      </c>
      <c r="AE31" s="35">
        <f t="shared" si="13"/>
        <v>15658507</v>
      </c>
      <c r="AF31" s="36">
        <v>6872707</v>
      </c>
      <c r="AG31" s="36">
        <v>447107</v>
      </c>
      <c r="AH31" s="43"/>
      <c r="AI31" s="36"/>
      <c r="AJ31" s="39">
        <v>8048623</v>
      </c>
      <c r="AK31" s="36">
        <v>13274484</v>
      </c>
      <c r="AL31" s="36">
        <v>4423725</v>
      </c>
      <c r="AM31" s="43"/>
      <c r="AN31" s="34">
        <v>1475923</v>
      </c>
      <c r="AO31" s="34"/>
      <c r="AP31" s="43"/>
      <c r="AQ31" s="34"/>
      <c r="AR31" s="34">
        <v>73956</v>
      </c>
      <c r="AS31" s="36">
        <v>2641614</v>
      </c>
      <c r="AT31" s="46">
        <f t="shared" si="6"/>
        <v>590723108</v>
      </c>
      <c r="AU31" s="46">
        <f t="shared" si="7"/>
        <v>13798455</v>
      </c>
      <c r="AV31" s="70">
        <f t="shared" si="14"/>
        <v>617796047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4:48" ht="13.5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</row>
    <row r="39" spans="5:6" ht="13.5">
      <c r="E39" s="17"/>
      <c r="F39" s="17"/>
    </row>
    <row r="40" spans="5:6" ht="13.5">
      <c r="E40" s="17"/>
      <c r="F40" s="17"/>
    </row>
    <row r="41" spans="5:6" ht="13.5">
      <c r="E41" s="17"/>
      <c r="F41" s="17"/>
    </row>
    <row r="42" spans="5:6" ht="13.5">
      <c r="E42" s="17"/>
      <c r="F42" s="17"/>
    </row>
    <row r="43" spans="5:6" ht="13.5">
      <c r="E43" s="17"/>
      <c r="F43" s="17"/>
    </row>
    <row r="44" spans="5:6" ht="13.5">
      <c r="E44" s="17"/>
      <c r="F44" s="17"/>
    </row>
    <row r="45" spans="5:6" ht="13.5">
      <c r="E45" s="17"/>
      <c r="F45" s="17"/>
    </row>
    <row r="46" spans="5:6" ht="13.5">
      <c r="E46" s="17"/>
      <c r="F46" s="17"/>
    </row>
    <row r="47" spans="2:6" ht="13.5">
      <c r="B47" s="71"/>
      <c r="C47" s="71"/>
      <c r="E47" s="17"/>
      <c r="F47" s="17"/>
    </row>
    <row r="48" spans="2:6" ht="13.5">
      <c r="B48" s="71"/>
      <c r="C48" s="71"/>
      <c r="E48" s="17"/>
      <c r="F48" s="17"/>
    </row>
    <row r="49" spans="2:6" ht="13.5">
      <c r="B49" s="71"/>
      <c r="C49" s="71"/>
      <c r="E49" s="17"/>
      <c r="F49" s="17"/>
    </row>
    <row r="50" spans="2:6" ht="13.5">
      <c r="B50" s="71"/>
      <c r="C50" s="71"/>
      <c r="E50" s="17"/>
      <c r="F50" s="17"/>
    </row>
    <row r="51" spans="2:3" ht="13.5">
      <c r="B51" s="71"/>
      <c r="C51" s="71"/>
    </row>
    <row r="52" spans="2:3" ht="13.5">
      <c r="B52" s="71"/>
      <c r="C52" s="71"/>
    </row>
    <row r="53" spans="2:3" ht="13.5">
      <c r="B53" s="71"/>
      <c r="C53" s="71"/>
    </row>
    <row r="54" spans="2:3" ht="13.5">
      <c r="B54" s="71"/>
      <c r="C54" s="71"/>
    </row>
    <row r="55" spans="2:3" ht="13.5">
      <c r="B55" s="71"/>
      <c r="C55" s="71"/>
    </row>
    <row r="56" spans="2:3" ht="13.5">
      <c r="B56" s="71"/>
      <c r="C56" s="71"/>
    </row>
    <row r="57" spans="2:3" ht="13.5">
      <c r="B57" s="71"/>
      <c r="C57" s="71"/>
    </row>
    <row r="58" spans="2:3" ht="13.5">
      <c r="B58" s="71"/>
      <c r="C58" s="71"/>
    </row>
    <row r="59" spans="2:3" ht="13.5">
      <c r="B59" s="71"/>
      <c r="C59" s="71"/>
    </row>
    <row r="60" spans="2:3" ht="13.5">
      <c r="B60" s="71"/>
      <c r="C60" s="71"/>
    </row>
    <row r="61" spans="2:3" ht="13.5">
      <c r="B61" s="71"/>
      <c r="C61" s="71"/>
    </row>
  </sheetData>
  <hyperlinks>
    <hyperlink ref="J5" r:id="rId1" display="http://www.hist.msu.ru/Dynamics/10text.ht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EX61"/>
  <sheetViews>
    <sheetView zoomScale="125" zoomScaleNormal="12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6" sqref="B6"/>
    </sheetView>
  </sheetViews>
  <sheetFormatPr defaultColWidth="9.00390625" defaultRowHeight="12.75"/>
  <cols>
    <col min="1" max="1" width="4.375" style="1" customWidth="1"/>
    <col min="2" max="4" width="8.625" style="0" customWidth="1"/>
    <col min="5" max="88" width="8.375" style="0" customWidth="1"/>
    <col min="89" max="90" width="8.375" style="61" customWidth="1"/>
    <col min="91" max="91" width="8.375" style="13" customWidth="1"/>
    <col min="92" max="116" width="8.375" style="0" customWidth="1"/>
    <col min="117" max="119" width="9.375" style="0" customWidth="1"/>
    <col min="120" max="122" width="9.375" style="52" customWidth="1"/>
    <col min="123" max="123" width="9.375" style="0" customWidth="1"/>
    <col min="124" max="130" width="8.375" style="0" customWidth="1"/>
  </cols>
  <sheetData>
    <row r="1" spans="1:122" ht="12.75">
      <c r="A1" s="75" t="s">
        <v>86</v>
      </c>
      <c r="AE1" s="13"/>
      <c r="CK1"/>
      <c r="CL1"/>
      <c r="CM1"/>
      <c r="DP1"/>
      <c r="DQ1"/>
      <c r="DR1"/>
    </row>
    <row r="2" spans="31:122" ht="12.75">
      <c r="AE2" s="13"/>
      <c r="CK2"/>
      <c r="CL2"/>
      <c r="CM2"/>
      <c r="DP2"/>
      <c r="DQ2"/>
      <c r="DR2"/>
    </row>
    <row r="3" spans="1:122" ht="12.75">
      <c r="A3" s="9" t="s">
        <v>0</v>
      </c>
      <c r="AE3" s="13"/>
      <c r="CK3"/>
      <c r="CL3"/>
      <c r="CM3"/>
      <c r="DP3"/>
      <c r="DQ3"/>
      <c r="DR3"/>
    </row>
    <row r="4" spans="2:122" ht="12.75">
      <c r="B4" t="s">
        <v>88</v>
      </c>
      <c r="AE4" s="13"/>
      <c r="CK4"/>
      <c r="CL4"/>
      <c r="CM4"/>
      <c r="DP4"/>
      <c r="DQ4"/>
      <c r="DR4"/>
    </row>
    <row r="5" spans="2:122" ht="12.75">
      <c r="B5" s="77" t="s">
        <v>90</v>
      </c>
      <c r="C5" s="77"/>
      <c r="D5" s="77"/>
      <c r="E5" s="77"/>
      <c r="F5" s="77"/>
      <c r="G5" s="77"/>
      <c r="H5" s="77"/>
      <c r="I5" s="78"/>
      <c r="J5" s="78" t="s">
        <v>89</v>
      </c>
      <c r="AE5" s="13"/>
      <c r="CK5"/>
      <c r="CL5"/>
      <c r="CM5"/>
      <c r="DP5"/>
      <c r="DQ5"/>
      <c r="DR5"/>
    </row>
    <row r="6" spans="2:122" ht="12.75">
      <c r="B6" s="8" t="s">
        <v>126</v>
      </c>
      <c r="AE6" s="13"/>
      <c r="CK6"/>
      <c r="CL6"/>
      <c r="CM6"/>
      <c r="DP6"/>
      <c r="DQ6"/>
      <c r="DR6"/>
    </row>
    <row r="7" spans="31:122" ht="12.75">
      <c r="AE7" s="13"/>
      <c r="CK7"/>
      <c r="CL7"/>
      <c r="CM7"/>
      <c r="DP7"/>
      <c r="DQ7"/>
      <c r="DR7"/>
    </row>
    <row r="8" spans="1:122" ht="18.75">
      <c r="A8" s="12" t="s">
        <v>128</v>
      </c>
      <c r="AE8" s="13"/>
      <c r="CK8"/>
      <c r="CL8"/>
      <c r="CM8"/>
      <c r="DP8"/>
      <c r="DQ8"/>
      <c r="DR8"/>
    </row>
    <row r="9" spans="1:122" ht="12.75">
      <c r="A9" s="76" t="s">
        <v>87</v>
      </c>
      <c r="AE9" s="13"/>
      <c r="CK9"/>
      <c r="CL9"/>
      <c r="CM9"/>
      <c r="DP9"/>
      <c r="DQ9"/>
      <c r="DR9"/>
    </row>
    <row r="10" spans="31:122" ht="12.75">
      <c r="AE10" s="13"/>
      <c r="CE10" s="32" t="s">
        <v>117</v>
      </c>
      <c r="CF10" s="90"/>
      <c r="CG10" s="90"/>
      <c r="CH10" s="90"/>
      <c r="CI10" s="90"/>
      <c r="CJ10" s="90"/>
      <c r="CK10" s="83" t="s">
        <v>118</v>
      </c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5"/>
      <c r="DP10"/>
      <c r="DQ10"/>
      <c r="DR10"/>
    </row>
    <row r="11" spans="1:129" ht="13.5" customHeight="1">
      <c r="A11" s="91"/>
      <c r="B11" s="32" t="s">
        <v>1</v>
      </c>
      <c r="C11" s="31"/>
      <c r="D11" s="31"/>
      <c r="E11" s="94" t="s">
        <v>116</v>
      </c>
      <c r="F11" s="32" t="s">
        <v>2</v>
      </c>
      <c r="G11" s="31"/>
      <c r="H11" s="31"/>
      <c r="I11" s="32" t="s">
        <v>3</v>
      </c>
      <c r="J11" s="31"/>
      <c r="K11" s="31"/>
      <c r="L11" s="32" t="s">
        <v>31</v>
      </c>
      <c r="M11" s="31"/>
      <c r="N11" s="31"/>
      <c r="O11" s="32" t="s">
        <v>4</v>
      </c>
      <c r="P11" s="31"/>
      <c r="Q11" s="31"/>
      <c r="R11" s="32" t="s">
        <v>71</v>
      </c>
      <c r="S11" s="31"/>
      <c r="T11" s="31"/>
      <c r="U11" s="32" t="s">
        <v>70</v>
      </c>
      <c r="V11" s="31"/>
      <c r="W11" s="31"/>
      <c r="X11" s="32" t="s">
        <v>5</v>
      </c>
      <c r="Y11" s="31"/>
      <c r="Z11" s="31"/>
      <c r="AA11" s="32" t="s">
        <v>6</v>
      </c>
      <c r="AB11" s="31"/>
      <c r="AC11" s="31"/>
      <c r="AD11" s="32" t="s">
        <v>7</v>
      </c>
      <c r="AE11" s="31"/>
      <c r="AF11" s="31"/>
      <c r="AG11" s="32" t="s">
        <v>8</v>
      </c>
      <c r="AH11" s="31"/>
      <c r="AI11" s="31"/>
      <c r="AJ11" s="32" t="s">
        <v>9</v>
      </c>
      <c r="AK11" s="31"/>
      <c r="AL11" s="31"/>
      <c r="AM11" s="32" t="s">
        <v>10</v>
      </c>
      <c r="AN11" s="31"/>
      <c r="AO11" s="31"/>
      <c r="AP11" s="32" t="s">
        <v>11</v>
      </c>
      <c r="AQ11" s="31"/>
      <c r="AR11" s="31"/>
      <c r="AS11" s="32" t="s">
        <v>36</v>
      </c>
      <c r="AT11" s="31"/>
      <c r="AU11" s="31"/>
      <c r="AV11" s="32" t="s">
        <v>12</v>
      </c>
      <c r="AW11" s="31"/>
      <c r="AX11" s="31"/>
      <c r="AY11" s="32" t="s">
        <v>13</v>
      </c>
      <c r="AZ11" s="31"/>
      <c r="BA11" s="31"/>
      <c r="BB11" s="32" t="s">
        <v>14</v>
      </c>
      <c r="BC11" s="31"/>
      <c r="BD11" s="31"/>
      <c r="BE11" s="32" t="s">
        <v>15</v>
      </c>
      <c r="BF11" s="31"/>
      <c r="BG11" s="31"/>
      <c r="BH11" s="32" t="s">
        <v>16</v>
      </c>
      <c r="BI11" s="31"/>
      <c r="BJ11" s="31"/>
      <c r="BK11" s="32" t="s">
        <v>17</v>
      </c>
      <c r="BL11" s="31"/>
      <c r="BM11" s="31"/>
      <c r="BN11" s="32" t="s">
        <v>82</v>
      </c>
      <c r="BO11" s="31"/>
      <c r="BP11" s="31"/>
      <c r="BQ11" s="94" t="s">
        <v>115</v>
      </c>
      <c r="BR11" s="32" t="s">
        <v>19</v>
      </c>
      <c r="BS11" s="31"/>
      <c r="BT11" s="31"/>
      <c r="BU11" s="32" t="s">
        <v>20</v>
      </c>
      <c r="BV11" s="31"/>
      <c r="BW11" s="31"/>
      <c r="BX11" s="94" t="s">
        <v>25</v>
      </c>
      <c r="BY11" s="32" t="s">
        <v>21</v>
      </c>
      <c r="BZ11" s="31"/>
      <c r="CA11" s="31"/>
      <c r="CB11" s="32" t="s">
        <v>22</v>
      </c>
      <c r="CC11" s="31"/>
      <c r="CD11" s="31"/>
      <c r="CE11" s="32" t="s">
        <v>72</v>
      </c>
      <c r="CF11" s="31"/>
      <c r="CG11" s="31"/>
      <c r="CH11" s="32" t="s">
        <v>74</v>
      </c>
      <c r="CI11" s="31"/>
      <c r="CJ11" s="31"/>
      <c r="CK11" s="32" t="s">
        <v>24</v>
      </c>
      <c r="CL11" s="60"/>
      <c r="CM11" s="31"/>
      <c r="CN11" s="32" t="s">
        <v>73</v>
      </c>
      <c r="CO11" s="60"/>
      <c r="CP11" s="79"/>
      <c r="CQ11" s="86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8"/>
      <c r="DP11" s="52" t="s">
        <v>75</v>
      </c>
      <c r="DV11" s="93" t="s">
        <v>124</v>
      </c>
      <c r="DW11" s="93"/>
      <c r="DX11" s="93"/>
      <c r="DY11" s="65" t="s">
        <v>125</v>
      </c>
    </row>
    <row r="12" spans="1:154" ht="48" customHeight="1">
      <c r="A12" s="92"/>
      <c r="B12" s="7" t="s">
        <v>67</v>
      </c>
      <c r="C12" s="7" t="s">
        <v>68</v>
      </c>
      <c r="D12" s="80" t="s">
        <v>69</v>
      </c>
      <c r="E12" s="95"/>
      <c r="F12" s="7" t="s">
        <v>67</v>
      </c>
      <c r="G12" s="7" t="s">
        <v>68</v>
      </c>
      <c r="H12" s="7" t="s">
        <v>69</v>
      </c>
      <c r="I12" s="7" t="s">
        <v>67</v>
      </c>
      <c r="J12" s="7" t="s">
        <v>68</v>
      </c>
      <c r="K12" s="7" t="s">
        <v>69</v>
      </c>
      <c r="L12" s="7" t="s">
        <v>67</v>
      </c>
      <c r="M12" s="7" t="s">
        <v>68</v>
      </c>
      <c r="N12" s="7" t="s">
        <v>69</v>
      </c>
      <c r="O12" s="7" t="s">
        <v>67</v>
      </c>
      <c r="P12" s="7" t="s">
        <v>68</v>
      </c>
      <c r="Q12" s="7" t="s">
        <v>69</v>
      </c>
      <c r="R12" s="7" t="s">
        <v>67</v>
      </c>
      <c r="S12" s="7" t="s">
        <v>68</v>
      </c>
      <c r="T12" s="7" t="s">
        <v>69</v>
      </c>
      <c r="U12" s="7" t="s">
        <v>67</v>
      </c>
      <c r="V12" s="7" t="s">
        <v>68</v>
      </c>
      <c r="W12" s="7" t="s">
        <v>69</v>
      </c>
      <c r="X12" s="7" t="s">
        <v>67</v>
      </c>
      <c r="Y12" s="7" t="s">
        <v>68</v>
      </c>
      <c r="Z12" s="7" t="s">
        <v>69</v>
      </c>
      <c r="AA12" s="7" t="s">
        <v>67</v>
      </c>
      <c r="AB12" s="7" t="s">
        <v>68</v>
      </c>
      <c r="AC12" s="7" t="s">
        <v>69</v>
      </c>
      <c r="AD12" s="7" t="s">
        <v>67</v>
      </c>
      <c r="AE12" s="7" t="s">
        <v>68</v>
      </c>
      <c r="AF12" s="7" t="s">
        <v>69</v>
      </c>
      <c r="AG12" s="7" t="s">
        <v>67</v>
      </c>
      <c r="AH12" s="7" t="s">
        <v>68</v>
      </c>
      <c r="AI12" s="7" t="s">
        <v>69</v>
      </c>
      <c r="AJ12" s="7" t="s">
        <v>67</v>
      </c>
      <c r="AK12" s="7" t="s">
        <v>68</v>
      </c>
      <c r="AL12" s="7" t="s">
        <v>69</v>
      </c>
      <c r="AM12" s="7" t="s">
        <v>67</v>
      </c>
      <c r="AN12" s="7" t="s">
        <v>68</v>
      </c>
      <c r="AO12" s="7" t="s">
        <v>69</v>
      </c>
      <c r="AP12" s="7" t="s">
        <v>67</v>
      </c>
      <c r="AQ12" s="7" t="s">
        <v>68</v>
      </c>
      <c r="AR12" s="7" t="s">
        <v>69</v>
      </c>
      <c r="AS12" s="7" t="s">
        <v>67</v>
      </c>
      <c r="AT12" s="7" t="s">
        <v>68</v>
      </c>
      <c r="AU12" s="7" t="s">
        <v>69</v>
      </c>
      <c r="AV12" s="7" t="s">
        <v>67</v>
      </c>
      <c r="AW12" s="7" t="s">
        <v>68</v>
      </c>
      <c r="AX12" s="7" t="s">
        <v>69</v>
      </c>
      <c r="AY12" s="7" t="s">
        <v>67</v>
      </c>
      <c r="AZ12" s="7" t="s">
        <v>68</v>
      </c>
      <c r="BA12" s="7" t="s">
        <v>69</v>
      </c>
      <c r="BB12" s="7" t="s">
        <v>67</v>
      </c>
      <c r="BC12" s="7" t="s">
        <v>68</v>
      </c>
      <c r="BD12" s="7" t="s">
        <v>69</v>
      </c>
      <c r="BE12" s="7" t="s">
        <v>67</v>
      </c>
      <c r="BF12" s="7" t="s">
        <v>68</v>
      </c>
      <c r="BG12" s="7" t="s">
        <v>69</v>
      </c>
      <c r="BH12" s="7" t="s">
        <v>67</v>
      </c>
      <c r="BI12" s="7" t="s">
        <v>68</v>
      </c>
      <c r="BJ12" s="7" t="s">
        <v>69</v>
      </c>
      <c r="BK12" s="7" t="s">
        <v>67</v>
      </c>
      <c r="BL12" s="7" t="s">
        <v>68</v>
      </c>
      <c r="BM12" s="7" t="s">
        <v>69</v>
      </c>
      <c r="BN12" s="7" t="s">
        <v>67</v>
      </c>
      <c r="BO12" s="7" t="s">
        <v>68</v>
      </c>
      <c r="BP12" s="7" t="s">
        <v>69</v>
      </c>
      <c r="BQ12" s="95"/>
      <c r="BR12" s="7" t="s">
        <v>67</v>
      </c>
      <c r="BS12" s="7" t="s">
        <v>68</v>
      </c>
      <c r="BT12" s="7" t="s">
        <v>69</v>
      </c>
      <c r="BU12" s="7" t="s">
        <v>67</v>
      </c>
      <c r="BV12" s="7" t="s">
        <v>68</v>
      </c>
      <c r="BW12" s="7" t="s">
        <v>69</v>
      </c>
      <c r="BX12" s="95"/>
      <c r="BY12" s="7" t="s">
        <v>67</v>
      </c>
      <c r="BZ12" s="7" t="s">
        <v>68</v>
      </c>
      <c r="CA12" s="7" t="s">
        <v>69</v>
      </c>
      <c r="CB12" s="7" t="s">
        <v>67</v>
      </c>
      <c r="CC12" s="7" t="s">
        <v>68</v>
      </c>
      <c r="CD12" s="7" t="s">
        <v>69</v>
      </c>
      <c r="CE12" s="7" t="s">
        <v>67</v>
      </c>
      <c r="CF12" s="7" t="s">
        <v>68</v>
      </c>
      <c r="CG12" s="7" t="s">
        <v>69</v>
      </c>
      <c r="CH12" s="50" t="s">
        <v>67</v>
      </c>
      <c r="CI12" s="50" t="s">
        <v>68</v>
      </c>
      <c r="CJ12" s="50" t="s">
        <v>69</v>
      </c>
      <c r="CK12" s="7" t="s">
        <v>67</v>
      </c>
      <c r="CL12" s="7" t="s">
        <v>68</v>
      </c>
      <c r="CM12" s="7" t="s">
        <v>69</v>
      </c>
      <c r="CN12" s="7" t="s">
        <v>67</v>
      </c>
      <c r="CO12" s="7" t="s">
        <v>68</v>
      </c>
      <c r="CP12" s="7" t="s">
        <v>69</v>
      </c>
      <c r="CQ12" s="7" t="s">
        <v>42</v>
      </c>
      <c r="CR12" s="7" t="s">
        <v>119</v>
      </c>
      <c r="CS12" s="7" t="s">
        <v>32</v>
      </c>
      <c r="CT12" s="7" t="s">
        <v>41</v>
      </c>
      <c r="CU12" s="7" t="s">
        <v>26</v>
      </c>
      <c r="CV12" s="7" t="s">
        <v>34</v>
      </c>
      <c r="CW12" s="7" t="s">
        <v>33</v>
      </c>
      <c r="CX12" s="7" t="s">
        <v>120</v>
      </c>
      <c r="CY12" s="7" t="s">
        <v>35</v>
      </c>
      <c r="CZ12" s="7" t="s">
        <v>37</v>
      </c>
      <c r="DA12" s="7" t="s">
        <v>38</v>
      </c>
      <c r="DB12" s="7" t="s">
        <v>80</v>
      </c>
      <c r="DC12" s="7" t="s">
        <v>79</v>
      </c>
      <c r="DD12" s="7" t="s">
        <v>39</v>
      </c>
      <c r="DE12" s="7" t="s">
        <v>121</v>
      </c>
      <c r="DF12" s="7" t="s">
        <v>29</v>
      </c>
      <c r="DG12" s="7" t="s">
        <v>30</v>
      </c>
      <c r="DH12" s="7" t="s">
        <v>40</v>
      </c>
      <c r="DI12" s="7" t="s">
        <v>122</v>
      </c>
      <c r="DJ12" s="7" t="s">
        <v>27</v>
      </c>
      <c r="DK12" s="7" t="s">
        <v>28</v>
      </c>
      <c r="DL12" s="7" t="s">
        <v>23</v>
      </c>
      <c r="DM12" s="7" t="s">
        <v>101</v>
      </c>
      <c r="DN12" s="7" t="s">
        <v>102</v>
      </c>
      <c r="DO12" s="7" t="s">
        <v>103</v>
      </c>
      <c r="DP12" s="53" t="s">
        <v>101</v>
      </c>
      <c r="DQ12" s="53" t="s">
        <v>102</v>
      </c>
      <c r="DR12" s="96" t="s">
        <v>123</v>
      </c>
      <c r="DS12" s="97"/>
      <c r="DT12" s="7"/>
      <c r="DU12" s="7"/>
      <c r="DV12" s="50" t="s">
        <v>67</v>
      </c>
      <c r="DW12" s="50" t="s">
        <v>68</v>
      </c>
      <c r="DX12" s="50" t="s">
        <v>69</v>
      </c>
      <c r="DY12" s="50"/>
      <c r="DZ12" s="7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</row>
    <row r="13" spans="1:130" ht="13.5" customHeight="1">
      <c r="A13" s="1">
        <v>1883</v>
      </c>
      <c r="B13" s="34">
        <v>24870151</v>
      </c>
      <c r="C13" s="43"/>
      <c r="D13" s="35">
        <f aca="true" t="shared" si="0" ref="D13:D46">B13+C13</f>
        <v>24870151</v>
      </c>
      <c r="E13" s="43"/>
      <c r="F13" s="34">
        <v>35788318</v>
      </c>
      <c r="G13" s="43"/>
      <c r="H13" s="35">
        <f aca="true" t="shared" si="1" ref="H13:H47">F13+G13</f>
        <v>35788318</v>
      </c>
      <c r="I13" s="36">
        <v>1569669</v>
      </c>
      <c r="J13" s="43"/>
      <c r="K13" s="35">
        <f>I13+J13</f>
        <v>1569669</v>
      </c>
      <c r="L13" s="43"/>
      <c r="M13" s="43"/>
      <c r="N13" s="43"/>
      <c r="O13" s="36">
        <v>210124598</v>
      </c>
      <c r="P13" s="36">
        <v>694501</v>
      </c>
      <c r="Q13" s="35">
        <f>O13+P13</f>
        <v>210819099</v>
      </c>
      <c r="R13" s="36">
        <v>183683902</v>
      </c>
      <c r="S13" s="43"/>
      <c r="T13" s="35">
        <f>R13+S13</f>
        <v>183683902</v>
      </c>
      <c r="U13" s="36">
        <v>5161056</v>
      </c>
      <c r="V13" s="43"/>
      <c r="W13" s="35">
        <f>U13+V13</f>
        <v>5161056</v>
      </c>
      <c r="X13" s="37">
        <f aca="true" t="shared" si="2" ref="X13:Y15">R13+U13</f>
        <v>188844958</v>
      </c>
      <c r="Y13" s="43"/>
      <c r="Z13" s="38">
        <f aca="true" t="shared" si="3" ref="Z13:Z46">X13+Y13</f>
        <v>188844958</v>
      </c>
      <c r="AA13" s="36">
        <v>46483677</v>
      </c>
      <c r="AB13" s="43"/>
      <c r="AC13" s="35">
        <f aca="true" t="shared" si="4" ref="AC13:AC47">AA13+AB13</f>
        <v>46483677</v>
      </c>
      <c r="AD13" s="36">
        <v>5179639</v>
      </c>
      <c r="AE13" s="43"/>
      <c r="AF13" s="35">
        <f aca="true" t="shared" si="5" ref="AF13:AF47">AD13+AE13</f>
        <v>5179639</v>
      </c>
      <c r="AG13" s="36">
        <v>5292279</v>
      </c>
      <c r="AH13" s="43"/>
      <c r="AI13" s="35">
        <f aca="true" t="shared" si="6" ref="AI13:AI47">AG13+AH13</f>
        <v>5292279</v>
      </c>
      <c r="AJ13" s="36">
        <v>99000</v>
      </c>
      <c r="AK13" s="43"/>
      <c r="AL13" s="35">
        <f aca="true" t="shared" si="7" ref="AL13:AL47">AJ13+AK13</f>
        <v>99000</v>
      </c>
      <c r="AM13" s="36">
        <v>1488035</v>
      </c>
      <c r="AN13" s="43"/>
      <c r="AO13" s="35">
        <f aca="true" t="shared" si="8" ref="AO13:AO47">AM13+AN13</f>
        <v>1488035</v>
      </c>
      <c r="AP13" s="36">
        <v>6859405</v>
      </c>
      <c r="AQ13" s="43"/>
      <c r="AR13" s="35">
        <f aca="true" t="shared" si="9" ref="AR13:AR47">AP13+AQ13</f>
        <v>6859405</v>
      </c>
      <c r="AS13" s="43"/>
      <c r="AT13" s="36">
        <v>2299231</v>
      </c>
      <c r="AU13" s="35">
        <f aca="true" t="shared" si="10" ref="AU13:AU47">AS13+AT13</f>
        <v>2299231</v>
      </c>
      <c r="AV13" s="36">
        <v>4827460</v>
      </c>
      <c r="AW13" s="43"/>
      <c r="AX13" s="35">
        <f aca="true" t="shared" si="11" ref="AX13:AX47">AV13+AW13</f>
        <v>4827460</v>
      </c>
      <c r="AY13" s="43"/>
      <c r="AZ13" s="43"/>
      <c r="BA13" s="43"/>
      <c r="BB13" s="43"/>
      <c r="BC13" s="36">
        <v>3569037</v>
      </c>
      <c r="BD13" s="35">
        <f aca="true" t="shared" si="12" ref="BD13:BD47">BB13+BC13</f>
        <v>3569037</v>
      </c>
      <c r="BE13" s="36">
        <v>232208</v>
      </c>
      <c r="BF13" s="43"/>
      <c r="BG13" s="35">
        <f aca="true" t="shared" si="13" ref="BG13:BG47">BE13+BF13</f>
        <v>232208</v>
      </c>
      <c r="BH13" s="36">
        <v>5359161</v>
      </c>
      <c r="BI13" s="43"/>
      <c r="BJ13" s="35">
        <f aca="true" t="shared" si="14" ref="BJ13:BJ47">BH13+BI13</f>
        <v>5359161</v>
      </c>
      <c r="BK13" s="43"/>
      <c r="BL13" s="43"/>
      <c r="BM13" s="43"/>
      <c r="BN13" s="36">
        <v>598520</v>
      </c>
      <c r="BO13" s="43"/>
      <c r="BP13" s="35">
        <f aca="true" t="shared" si="15" ref="BP13:BP47">BN13+BO13</f>
        <v>598520</v>
      </c>
      <c r="BQ13" s="36">
        <v>2840648</v>
      </c>
      <c r="BR13" s="36">
        <v>9186078</v>
      </c>
      <c r="BS13" s="36">
        <v>2105748</v>
      </c>
      <c r="BT13" s="35">
        <f aca="true" t="shared" si="16" ref="BT13:BT46">BR13+BS13</f>
        <v>11291826</v>
      </c>
      <c r="BU13" s="36">
        <v>39284491</v>
      </c>
      <c r="BV13" s="36">
        <v>2849772</v>
      </c>
      <c r="BW13" s="35">
        <f aca="true" t="shared" si="17" ref="BW13:BW47">BU13+BV13</f>
        <v>42134263</v>
      </c>
      <c r="BX13" s="43"/>
      <c r="BY13" s="36">
        <v>14145887</v>
      </c>
      <c r="BZ13" s="43"/>
      <c r="CA13" s="35">
        <f aca="true" t="shared" si="18" ref="CA13:CA47">BY13+BZ13</f>
        <v>14145887</v>
      </c>
      <c r="CB13" s="40"/>
      <c r="CC13" s="40"/>
      <c r="CD13" s="40"/>
      <c r="CE13" s="43"/>
      <c r="CF13" s="43"/>
      <c r="CG13" s="43"/>
      <c r="CH13" s="35">
        <f>DP13-SUM(B13,F13,I13,O13,X13,AA13,AD13,AG13,AJ13,AM13,AP13,AV13,BE13,BH13,BN13,BR13,BU13,BY13)</f>
        <v>7554422</v>
      </c>
      <c r="CI13" s="35">
        <f>DN13-SUM(P13,AT13,BC13,BQ13,BS13,BV13)</f>
        <v>2655767</v>
      </c>
      <c r="CJ13" s="51">
        <f aca="true" t="shared" si="19" ref="CJ13:CJ33">CH13+CI13</f>
        <v>10210189</v>
      </c>
      <c r="CK13" s="34"/>
      <c r="CL13" s="34"/>
      <c r="CM13" s="35"/>
      <c r="CN13" s="36"/>
      <c r="CO13" s="36"/>
      <c r="CP13" s="35"/>
      <c r="CQ13" s="36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40"/>
      <c r="DL13" s="34">
        <v>15492140</v>
      </c>
      <c r="DM13" s="20">
        <v>607787956</v>
      </c>
      <c r="DN13" s="20">
        <v>17014704</v>
      </c>
      <c r="DO13" s="89">
        <f aca="true" t="shared" si="20" ref="DO13:DO47">DM13+DN13+DL13</f>
        <v>640294800</v>
      </c>
      <c r="DP13" s="40">
        <v>607787956</v>
      </c>
      <c r="DQ13" s="40">
        <v>17014704</v>
      </c>
      <c r="DR13" s="54">
        <f>DP13-DM13</f>
        <v>0</v>
      </c>
      <c r="DS13" s="54">
        <f aca="true" t="shared" si="21" ref="DS13:DS23">DQ13-DN13</f>
        <v>0</v>
      </c>
      <c r="DT13" s="2" t="s">
        <v>66</v>
      </c>
      <c r="DU13" s="2"/>
      <c r="DV13" s="2"/>
      <c r="DW13" s="2"/>
      <c r="DX13" s="2"/>
      <c r="DY13" s="2"/>
      <c r="DZ13" s="2"/>
    </row>
    <row r="14" spans="1:130" ht="13.5" customHeight="1">
      <c r="A14" s="1">
        <v>1884</v>
      </c>
      <c r="B14" s="34">
        <v>30883390</v>
      </c>
      <c r="C14" s="34">
        <v>633277</v>
      </c>
      <c r="D14" s="35">
        <f t="shared" si="0"/>
        <v>31516667</v>
      </c>
      <c r="E14" s="43"/>
      <c r="F14" s="34">
        <v>22880782</v>
      </c>
      <c r="G14" s="63">
        <v>0</v>
      </c>
      <c r="H14" s="35">
        <f t="shared" si="1"/>
        <v>22880782</v>
      </c>
      <c r="I14" s="41">
        <v>737123</v>
      </c>
      <c r="J14" s="63">
        <v>0</v>
      </c>
      <c r="K14" s="35">
        <f aca="true" t="shared" si="22" ref="K14:K47">I14+J14</f>
        <v>737123</v>
      </c>
      <c r="L14" s="43"/>
      <c r="M14" s="43"/>
      <c r="N14" s="43"/>
      <c r="O14" s="36">
        <v>152113366</v>
      </c>
      <c r="P14" s="36">
        <v>2288537</v>
      </c>
      <c r="Q14" s="35">
        <f aca="true" t="shared" si="23" ref="Q14:Q47">O14+P14</f>
        <v>154401903</v>
      </c>
      <c r="R14" s="36">
        <v>171658092</v>
      </c>
      <c r="S14" s="63">
        <v>0</v>
      </c>
      <c r="T14" s="35">
        <f>R14+S14</f>
        <v>171658092</v>
      </c>
      <c r="U14" s="36">
        <v>11258714</v>
      </c>
      <c r="V14" s="41">
        <v>149654</v>
      </c>
      <c r="W14" s="35">
        <f>U14+V14</f>
        <v>11408368</v>
      </c>
      <c r="X14" s="37">
        <f t="shared" si="2"/>
        <v>182916806</v>
      </c>
      <c r="Y14" s="64">
        <f t="shared" si="2"/>
        <v>149654</v>
      </c>
      <c r="Z14" s="38">
        <f t="shared" si="3"/>
        <v>183066460</v>
      </c>
      <c r="AA14" s="36">
        <v>47089413</v>
      </c>
      <c r="AB14" s="39">
        <v>114540</v>
      </c>
      <c r="AC14" s="35">
        <f t="shared" si="4"/>
        <v>47203953</v>
      </c>
      <c r="AD14" s="36">
        <v>5815485</v>
      </c>
      <c r="AE14" s="41">
        <v>246333</v>
      </c>
      <c r="AF14" s="35">
        <f t="shared" si="5"/>
        <v>6061818</v>
      </c>
      <c r="AG14" s="36">
        <v>11305409</v>
      </c>
      <c r="AH14" s="63">
        <v>0</v>
      </c>
      <c r="AI14" s="35">
        <f t="shared" si="6"/>
        <v>11305409</v>
      </c>
      <c r="AJ14" s="36">
        <v>299158</v>
      </c>
      <c r="AK14" s="42">
        <v>13000</v>
      </c>
      <c r="AL14" s="35">
        <f t="shared" si="7"/>
        <v>312158</v>
      </c>
      <c r="AM14" s="36">
        <v>2290611</v>
      </c>
      <c r="AN14" s="42">
        <v>40000</v>
      </c>
      <c r="AO14" s="35">
        <f t="shared" si="8"/>
        <v>2330611</v>
      </c>
      <c r="AP14" s="36">
        <v>18660464</v>
      </c>
      <c r="AQ14" s="39">
        <v>328149</v>
      </c>
      <c r="AR14" s="35">
        <f t="shared" si="9"/>
        <v>18988613</v>
      </c>
      <c r="AS14" s="63">
        <v>0</v>
      </c>
      <c r="AT14" s="36">
        <v>1681903</v>
      </c>
      <c r="AU14" s="35">
        <f t="shared" si="10"/>
        <v>1681903</v>
      </c>
      <c r="AV14" s="36">
        <v>4630604</v>
      </c>
      <c r="AW14" s="63">
        <v>0</v>
      </c>
      <c r="AX14" s="35">
        <f t="shared" si="11"/>
        <v>4630604</v>
      </c>
      <c r="AY14" s="43"/>
      <c r="AZ14" s="43"/>
      <c r="BA14" s="43"/>
      <c r="BB14" s="63">
        <v>0</v>
      </c>
      <c r="BC14" s="36">
        <v>3920550</v>
      </c>
      <c r="BD14" s="35">
        <f t="shared" si="12"/>
        <v>3920550</v>
      </c>
      <c r="BE14" s="36">
        <v>525669</v>
      </c>
      <c r="BF14" s="63">
        <v>0</v>
      </c>
      <c r="BG14" s="35">
        <f t="shared" si="13"/>
        <v>525669</v>
      </c>
      <c r="BH14" s="36">
        <v>7894188</v>
      </c>
      <c r="BI14" s="42">
        <v>711344</v>
      </c>
      <c r="BJ14" s="35">
        <f t="shared" si="14"/>
        <v>8605532</v>
      </c>
      <c r="BK14" s="63">
        <v>0</v>
      </c>
      <c r="BL14" s="63">
        <v>0</v>
      </c>
      <c r="BM14" s="43">
        <v>0</v>
      </c>
      <c r="BN14" s="36">
        <v>1125565</v>
      </c>
      <c r="BO14" s="63">
        <v>0</v>
      </c>
      <c r="BP14" s="35">
        <f t="shared" si="15"/>
        <v>1125565</v>
      </c>
      <c r="BQ14" s="36">
        <v>3994509</v>
      </c>
      <c r="BR14" s="36">
        <v>8226071</v>
      </c>
      <c r="BS14" s="36">
        <v>3622845</v>
      </c>
      <c r="BT14" s="35">
        <f t="shared" si="16"/>
        <v>11848916</v>
      </c>
      <c r="BU14" s="36">
        <v>39202582</v>
      </c>
      <c r="BV14" s="36">
        <v>6870396</v>
      </c>
      <c r="BW14" s="35">
        <f t="shared" si="17"/>
        <v>46072978</v>
      </c>
      <c r="BX14" s="43">
        <v>0</v>
      </c>
      <c r="BY14" s="36">
        <v>13774133</v>
      </c>
      <c r="BZ14" s="63">
        <v>0</v>
      </c>
      <c r="CA14" s="35">
        <f t="shared" si="18"/>
        <v>13774133</v>
      </c>
      <c r="CB14" s="40"/>
      <c r="CC14" s="40"/>
      <c r="CD14" s="40"/>
      <c r="CE14" s="36">
        <v>871331</v>
      </c>
      <c r="CF14" s="36">
        <v>1255537</v>
      </c>
      <c r="CG14" s="35">
        <f aca="true" t="shared" si="24" ref="CG14:CG47">CE14+CF14</f>
        <v>2126868</v>
      </c>
      <c r="CH14" s="51">
        <f>CE14-I14</f>
        <v>134208</v>
      </c>
      <c r="CI14" s="51">
        <f>CF14-SUM(AE14,AK14,AN14,BI14,V14)</f>
        <v>95206</v>
      </c>
      <c r="CJ14" s="51">
        <f t="shared" si="19"/>
        <v>229414</v>
      </c>
      <c r="CK14" s="34"/>
      <c r="CL14" s="34"/>
      <c r="CM14" s="35"/>
      <c r="CN14" s="36"/>
      <c r="CO14" s="36"/>
      <c r="CP14" s="35"/>
      <c r="CQ14" s="36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40"/>
      <c r="DL14" s="34">
        <v>14685722</v>
      </c>
      <c r="DM14" s="19">
        <f aca="true" t="shared" si="25" ref="DM14:DM23">SUM(B14,F14,I14,L14,O14,X14,AA14,AD14,AG14,AJ14,AM14,AP14,AS14,AV14,AY14,BB14,BE14,BH14,BK14,BN14,BR14,BU14,BX14,BY14,CB14,CH14)</f>
        <v>550505027</v>
      </c>
      <c r="DN14" s="19">
        <f aca="true" t="shared" si="26" ref="DN14:DN23">SUM(C14,E14,G14,J14,M14,P14,Y14,AB14,AE14,AH14,AK14,AN14,AQ14,AT14,AW14,AZ14,BC14,BF14,BI14,BL14,BO14,BQ14,BS14,BV14,BZ14,CC14,CI14)</f>
        <v>24710243</v>
      </c>
      <c r="DO14" s="89">
        <f t="shared" si="20"/>
        <v>589900992</v>
      </c>
      <c r="DP14" s="54">
        <v>550505027</v>
      </c>
      <c r="DQ14" s="54">
        <v>24710243</v>
      </c>
      <c r="DR14" s="54">
        <f aca="true" t="shared" si="27" ref="DR14:DR23">DP14-DM14</f>
        <v>0</v>
      </c>
      <c r="DS14" s="54">
        <f t="shared" si="21"/>
        <v>0</v>
      </c>
      <c r="DT14" s="2" t="s">
        <v>84</v>
      </c>
      <c r="DU14" s="2"/>
      <c r="DV14" s="2"/>
      <c r="DW14" s="2"/>
      <c r="DX14" s="2"/>
      <c r="DY14" s="2"/>
      <c r="DZ14" s="2"/>
    </row>
    <row r="15" spans="1:130" ht="13.5" customHeight="1">
      <c r="A15" s="16">
        <v>1885</v>
      </c>
      <c r="B15" s="34">
        <v>27134982</v>
      </c>
      <c r="C15" s="34">
        <v>821637</v>
      </c>
      <c r="D15" s="35">
        <f t="shared" si="0"/>
        <v>27956619</v>
      </c>
      <c r="E15" s="43"/>
      <c r="F15" s="36">
        <v>23183158</v>
      </c>
      <c r="G15" s="36">
        <v>0</v>
      </c>
      <c r="H15" s="35">
        <f t="shared" si="1"/>
        <v>23183158</v>
      </c>
      <c r="I15" s="36">
        <v>1368619</v>
      </c>
      <c r="J15" s="41">
        <v>9100</v>
      </c>
      <c r="K15" s="35">
        <f t="shared" si="22"/>
        <v>1377719</v>
      </c>
      <c r="L15" s="43"/>
      <c r="M15" s="43"/>
      <c r="N15" s="43"/>
      <c r="O15" s="36">
        <v>153991590</v>
      </c>
      <c r="P15" s="36">
        <v>3488727</v>
      </c>
      <c r="Q15" s="35">
        <f t="shared" si="23"/>
        <v>157480317</v>
      </c>
      <c r="R15" s="36">
        <v>134905016</v>
      </c>
      <c r="S15" s="36">
        <v>208828</v>
      </c>
      <c r="T15" s="35">
        <f>R15+S15</f>
        <v>135113844</v>
      </c>
      <c r="U15" s="36">
        <v>7353135</v>
      </c>
      <c r="V15" s="41">
        <v>13690</v>
      </c>
      <c r="W15" s="35">
        <f>U15+V15</f>
        <v>7366825</v>
      </c>
      <c r="X15" s="37">
        <f t="shared" si="2"/>
        <v>142258151</v>
      </c>
      <c r="Y15" s="37">
        <f t="shared" si="2"/>
        <v>222518</v>
      </c>
      <c r="Z15" s="38">
        <f t="shared" si="3"/>
        <v>142480669</v>
      </c>
      <c r="AA15" s="36">
        <v>32497098</v>
      </c>
      <c r="AB15" s="39">
        <v>9200</v>
      </c>
      <c r="AC15" s="35">
        <f t="shared" si="4"/>
        <v>32506298</v>
      </c>
      <c r="AD15" s="36">
        <v>8981017</v>
      </c>
      <c r="AE15" s="36">
        <v>7875</v>
      </c>
      <c r="AF15" s="35">
        <f t="shared" si="5"/>
        <v>8988892</v>
      </c>
      <c r="AG15" s="36">
        <v>7954698</v>
      </c>
      <c r="AH15" s="63">
        <v>0</v>
      </c>
      <c r="AI15" s="35">
        <f t="shared" si="6"/>
        <v>7954698</v>
      </c>
      <c r="AJ15" s="36">
        <v>2404715</v>
      </c>
      <c r="AK15" s="63">
        <v>0</v>
      </c>
      <c r="AL15" s="35">
        <f t="shared" si="7"/>
        <v>2404715</v>
      </c>
      <c r="AM15" s="36">
        <v>1504698</v>
      </c>
      <c r="AN15" s="41">
        <v>306345</v>
      </c>
      <c r="AO15" s="35">
        <f t="shared" si="8"/>
        <v>1811043</v>
      </c>
      <c r="AP15" s="36">
        <v>25512371</v>
      </c>
      <c r="AQ15" s="36">
        <v>833707</v>
      </c>
      <c r="AR15" s="35">
        <f t="shared" si="9"/>
        <v>26346078</v>
      </c>
      <c r="AS15" s="41">
        <v>43170</v>
      </c>
      <c r="AT15" s="36">
        <v>1855573</v>
      </c>
      <c r="AU15" s="35">
        <f t="shared" si="10"/>
        <v>1898743</v>
      </c>
      <c r="AV15" s="36">
        <v>4304567</v>
      </c>
      <c r="AW15" s="41">
        <v>600</v>
      </c>
      <c r="AX15" s="35">
        <f t="shared" si="11"/>
        <v>4305167</v>
      </c>
      <c r="AY15" s="43"/>
      <c r="AZ15" s="43"/>
      <c r="BA15" s="43"/>
      <c r="BB15" s="63">
        <v>0</v>
      </c>
      <c r="BC15" s="36">
        <v>3930600</v>
      </c>
      <c r="BD15" s="35">
        <f t="shared" si="12"/>
        <v>3930600</v>
      </c>
      <c r="BE15" s="36">
        <v>338795</v>
      </c>
      <c r="BF15" s="63">
        <v>0</v>
      </c>
      <c r="BG15" s="35">
        <f t="shared" si="13"/>
        <v>338795</v>
      </c>
      <c r="BH15" s="36">
        <v>3824240</v>
      </c>
      <c r="BI15" s="63">
        <v>0</v>
      </c>
      <c r="BJ15" s="35">
        <f t="shared" si="14"/>
        <v>3824240</v>
      </c>
      <c r="BK15" s="43"/>
      <c r="BL15" s="43"/>
      <c r="BM15" s="43">
        <v>1155602</v>
      </c>
      <c r="BN15" s="36">
        <v>480697</v>
      </c>
      <c r="BO15" s="63">
        <v>0</v>
      </c>
      <c r="BP15" s="35">
        <f t="shared" si="15"/>
        <v>480697</v>
      </c>
      <c r="BQ15" s="36">
        <v>2778186</v>
      </c>
      <c r="BR15" s="36">
        <v>12425876</v>
      </c>
      <c r="BS15" s="36">
        <v>4610249</v>
      </c>
      <c r="BT15" s="35">
        <f t="shared" si="16"/>
        <v>17036125</v>
      </c>
      <c r="BU15" s="36">
        <v>33834135</v>
      </c>
      <c r="BV15" s="36">
        <v>3383212</v>
      </c>
      <c r="BW15" s="35">
        <f t="shared" si="17"/>
        <v>37217347</v>
      </c>
      <c r="BX15" s="43">
        <v>0</v>
      </c>
      <c r="BY15" s="36">
        <v>14476156</v>
      </c>
      <c r="BZ15" s="63">
        <v>0</v>
      </c>
      <c r="CA15" s="35">
        <f t="shared" si="18"/>
        <v>14476156</v>
      </c>
      <c r="CB15" s="40"/>
      <c r="CC15" s="40"/>
      <c r="CD15" s="40"/>
      <c r="CE15" s="36">
        <v>1470730</v>
      </c>
      <c r="CF15" s="36">
        <v>1688045</v>
      </c>
      <c r="CG15" s="35">
        <f t="shared" si="24"/>
        <v>3158775</v>
      </c>
      <c r="CH15" s="51">
        <f>CE15-SUM(L15,AS15,AY15,BB15,BK15,BX15,CB15)-DV15</f>
        <v>682236</v>
      </c>
      <c r="CI15" s="51">
        <f>CF15-SUM(E15,J15,M15,AH15,AK15,AN15,AW15,AZ15,BF15,BI15,BO15,BZ15,CC15)-V15-DW15</f>
        <v>1358310</v>
      </c>
      <c r="CJ15" s="51">
        <f aca="true" t="shared" si="28" ref="CJ15:CJ21">CH15+CI15-BM15</f>
        <v>884944</v>
      </c>
      <c r="CK15" s="36"/>
      <c r="CL15" s="36"/>
      <c r="CM15" s="35"/>
      <c r="CN15" s="36"/>
      <c r="CO15" s="36"/>
      <c r="CP15" s="35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40"/>
      <c r="DL15" s="34">
        <v>17089566</v>
      </c>
      <c r="DM15" s="19">
        <f t="shared" si="25"/>
        <v>497200969</v>
      </c>
      <c r="DN15" s="19">
        <f t="shared" si="26"/>
        <v>23615839</v>
      </c>
      <c r="DO15" s="89">
        <f t="shared" si="20"/>
        <v>537906374</v>
      </c>
      <c r="DP15" s="54">
        <v>497946293</v>
      </c>
      <c r="DQ15" s="54">
        <v>23615839</v>
      </c>
      <c r="DR15" s="54">
        <f t="shared" si="27"/>
        <v>745324</v>
      </c>
      <c r="DS15" s="54">
        <f t="shared" si="21"/>
        <v>0</v>
      </c>
      <c r="DT15" s="2"/>
      <c r="DU15" s="2"/>
      <c r="DV15" s="44">
        <v>745324</v>
      </c>
      <c r="DW15" s="44">
        <v>0</v>
      </c>
      <c r="DX15" s="45">
        <f aca="true" t="shared" si="29" ref="DX15:DX27">DV15+DW15</f>
        <v>745324</v>
      </c>
      <c r="DY15" s="44">
        <v>0</v>
      </c>
      <c r="DZ15" s="2"/>
    </row>
    <row r="16" spans="1:130" ht="13.5" customHeight="1">
      <c r="A16" s="1">
        <v>1886</v>
      </c>
      <c r="B16" s="34">
        <v>23904518</v>
      </c>
      <c r="C16" s="34">
        <v>1411016</v>
      </c>
      <c r="D16" s="35">
        <f t="shared" si="0"/>
        <v>25315534</v>
      </c>
      <c r="E16" s="43"/>
      <c r="F16" s="36">
        <v>17252301</v>
      </c>
      <c r="G16" s="36">
        <v>937432</v>
      </c>
      <c r="H16" s="35">
        <f t="shared" si="1"/>
        <v>18189733</v>
      </c>
      <c r="I16" s="34">
        <v>2362944</v>
      </c>
      <c r="J16" s="63">
        <v>0</v>
      </c>
      <c r="K16" s="35">
        <f t="shared" si="22"/>
        <v>2362944</v>
      </c>
      <c r="L16" s="43"/>
      <c r="M16" s="43"/>
      <c r="N16" s="43"/>
      <c r="O16" s="36">
        <v>139930059</v>
      </c>
      <c r="P16" s="34">
        <v>4003638</v>
      </c>
      <c r="Q16" s="35">
        <f t="shared" si="23"/>
        <v>143933697</v>
      </c>
      <c r="R16" s="47"/>
      <c r="S16" s="47"/>
      <c r="T16" s="47"/>
      <c r="U16" s="47"/>
      <c r="V16" s="47"/>
      <c r="W16" s="47"/>
      <c r="X16" s="36">
        <v>118590502</v>
      </c>
      <c r="Y16" s="36">
        <v>620006</v>
      </c>
      <c r="Z16" s="35">
        <f t="shared" si="3"/>
        <v>119210508</v>
      </c>
      <c r="AA16" s="36">
        <v>36254333</v>
      </c>
      <c r="AB16" s="39">
        <v>540268</v>
      </c>
      <c r="AC16" s="35">
        <f t="shared" si="4"/>
        <v>36794601</v>
      </c>
      <c r="AD16" s="34">
        <v>8033912</v>
      </c>
      <c r="AE16" s="34">
        <v>1069342</v>
      </c>
      <c r="AF16" s="35">
        <f t="shared" si="5"/>
        <v>9103254</v>
      </c>
      <c r="AG16" s="34">
        <v>5343204</v>
      </c>
      <c r="AH16" s="41">
        <v>31300</v>
      </c>
      <c r="AI16" s="35">
        <f t="shared" si="6"/>
        <v>5374504</v>
      </c>
      <c r="AJ16" s="34">
        <v>2999889</v>
      </c>
      <c r="AK16" s="63">
        <v>0</v>
      </c>
      <c r="AL16" s="35">
        <f t="shared" si="7"/>
        <v>2999889</v>
      </c>
      <c r="AM16" s="34">
        <v>1785275</v>
      </c>
      <c r="AN16" s="41">
        <v>346000</v>
      </c>
      <c r="AO16" s="35">
        <f t="shared" si="8"/>
        <v>2131275</v>
      </c>
      <c r="AP16" s="34">
        <v>19818559</v>
      </c>
      <c r="AQ16" s="34">
        <v>2128582</v>
      </c>
      <c r="AR16" s="35">
        <f t="shared" si="9"/>
        <v>21947141</v>
      </c>
      <c r="AS16" s="41">
        <v>132388</v>
      </c>
      <c r="AT16" s="34">
        <v>1615174</v>
      </c>
      <c r="AU16" s="35">
        <f t="shared" si="10"/>
        <v>1747562</v>
      </c>
      <c r="AV16" s="34">
        <v>4787343</v>
      </c>
      <c r="AW16" s="63">
        <v>0</v>
      </c>
      <c r="AX16" s="35">
        <f t="shared" si="11"/>
        <v>4787343</v>
      </c>
      <c r="AY16" s="43"/>
      <c r="AZ16" s="43"/>
      <c r="BA16" s="43"/>
      <c r="BB16" s="63">
        <v>0</v>
      </c>
      <c r="BC16" s="34">
        <v>6128933</v>
      </c>
      <c r="BD16" s="35">
        <f t="shared" si="12"/>
        <v>6128933</v>
      </c>
      <c r="BE16" s="34">
        <v>482406</v>
      </c>
      <c r="BF16" s="41">
        <v>3850</v>
      </c>
      <c r="BG16" s="35">
        <f t="shared" si="13"/>
        <v>486256</v>
      </c>
      <c r="BH16" s="34">
        <v>2955379</v>
      </c>
      <c r="BI16" s="41">
        <v>1058448</v>
      </c>
      <c r="BJ16" s="35">
        <f t="shared" si="14"/>
        <v>4013827</v>
      </c>
      <c r="BK16" s="43"/>
      <c r="BL16" s="43"/>
      <c r="BM16" s="43">
        <v>6863</v>
      </c>
      <c r="BN16" s="34">
        <v>332500</v>
      </c>
      <c r="BO16" s="63">
        <v>0</v>
      </c>
      <c r="BP16" s="35">
        <f t="shared" si="15"/>
        <v>332500</v>
      </c>
      <c r="BQ16" s="36">
        <v>4458477</v>
      </c>
      <c r="BR16" s="36">
        <v>11347210</v>
      </c>
      <c r="BS16" s="36">
        <v>5235385</v>
      </c>
      <c r="BT16" s="35">
        <f t="shared" si="16"/>
        <v>16582595</v>
      </c>
      <c r="BU16" s="34">
        <v>24566238</v>
      </c>
      <c r="BV16" s="34">
        <v>5725782</v>
      </c>
      <c r="BW16" s="35">
        <f t="shared" si="17"/>
        <v>30292020</v>
      </c>
      <c r="BX16" s="43">
        <v>0</v>
      </c>
      <c r="BY16" s="34">
        <v>9781818</v>
      </c>
      <c r="BZ16" s="63">
        <v>0</v>
      </c>
      <c r="CA16" s="35">
        <f t="shared" si="18"/>
        <v>9781818</v>
      </c>
      <c r="CB16" s="40"/>
      <c r="CC16" s="40"/>
      <c r="CD16" s="40"/>
      <c r="CE16" s="36">
        <v>5986826</v>
      </c>
      <c r="CF16" s="36">
        <v>1517331</v>
      </c>
      <c r="CG16" s="35">
        <f t="shared" si="24"/>
        <v>7504157</v>
      </c>
      <c r="CH16" s="51">
        <f>CE16-SUM(L16,AS16,AY16,BB16,BK16,BX16,CB16)-DV16</f>
        <v>1477428</v>
      </c>
      <c r="CI16" s="51">
        <f>CF16-SUM(E16,J16,M16,AH16,AK16,AN16,AW16,AZ16,BF16,BI16,BO16,BZ16,CC16)-DW16</f>
        <v>77733</v>
      </c>
      <c r="CJ16" s="51">
        <f t="shared" si="28"/>
        <v>1548298</v>
      </c>
      <c r="CK16" s="34"/>
      <c r="CL16" s="34"/>
      <c r="CM16" s="35"/>
      <c r="CN16" s="36"/>
      <c r="CO16" s="36"/>
      <c r="CP16" s="35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40"/>
      <c r="DL16" s="34">
        <v>16576915</v>
      </c>
      <c r="DM16" s="19">
        <f t="shared" si="25"/>
        <v>432138206</v>
      </c>
      <c r="DN16" s="19">
        <f t="shared" si="26"/>
        <v>35391366</v>
      </c>
      <c r="DO16" s="89">
        <f t="shared" si="20"/>
        <v>484106487</v>
      </c>
      <c r="DP16" s="54">
        <v>436515216</v>
      </c>
      <c r="DQ16" s="54">
        <v>35391366</v>
      </c>
      <c r="DR16" s="54">
        <f t="shared" si="27"/>
        <v>4377010</v>
      </c>
      <c r="DS16" s="54">
        <f t="shared" si="21"/>
        <v>0</v>
      </c>
      <c r="DT16" s="2"/>
      <c r="DU16" s="2"/>
      <c r="DV16" s="44">
        <v>4377010</v>
      </c>
      <c r="DW16" s="44">
        <v>0</v>
      </c>
      <c r="DX16" s="45">
        <f t="shared" si="29"/>
        <v>4377010</v>
      </c>
      <c r="DY16" s="44">
        <v>0</v>
      </c>
      <c r="DZ16" s="2"/>
    </row>
    <row r="17" spans="1:130" ht="13.5" customHeight="1">
      <c r="A17" s="1">
        <v>1887</v>
      </c>
      <c r="B17" s="34">
        <v>23983169</v>
      </c>
      <c r="C17" s="34">
        <v>2352597</v>
      </c>
      <c r="D17" s="35">
        <f t="shared" si="0"/>
        <v>26335766</v>
      </c>
      <c r="E17" s="43"/>
      <c r="F17" s="36">
        <v>21084772</v>
      </c>
      <c r="G17" s="36">
        <v>926889</v>
      </c>
      <c r="H17" s="35">
        <f t="shared" si="1"/>
        <v>22011661</v>
      </c>
      <c r="I17" s="36">
        <v>2215201</v>
      </c>
      <c r="J17" s="63">
        <v>0</v>
      </c>
      <c r="K17" s="35">
        <f t="shared" si="22"/>
        <v>2215201</v>
      </c>
      <c r="L17" s="43"/>
      <c r="M17" s="43"/>
      <c r="N17" s="43"/>
      <c r="O17" s="36">
        <v>182346087</v>
      </c>
      <c r="P17" s="36">
        <v>3633694</v>
      </c>
      <c r="Q17" s="35">
        <f t="shared" si="23"/>
        <v>185979781</v>
      </c>
      <c r="R17" s="36"/>
      <c r="S17" s="36"/>
      <c r="T17" s="36"/>
      <c r="U17" s="48"/>
      <c r="V17" s="48"/>
      <c r="W17" s="48"/>
      <c r="X17" s="36">
        <v>151708204</v>
      </c>
      <c r="Y17" s="36">
        <v>753480</v>
      </c>
      <c r="Z17" s="35">
        <f t="shared" si="3"/>
        <v>152461684</v>
      </c>
      <c r="AA17" s="36">
        <v>45891334</v>
      </c>
      <c r="AB17" s="39">
        <v>855254</v>
      </c>
      <c r="AC17" s="35">
        <f t="shared" si="4"/>
        <v>46746588</v>
      </c>
      <c r="AD17" s="36">
        <v>9794993</v>
      </c>
      <c r="AE17" s="36">
        <v>951229</v>
      </c>
      <c r="AF17" s="35">
        <f t="shared" si="5"/>
        <v>10746222</v>
      </c>
      <c r="AG17" s="36">
        <v>7706351</v>
      </c>
      <c r="AH17" s="63">
        <v>0</v>
      </c>
      <c r="AI17" s="35">
        <f t="shared" si="6"/>
        <v>7706351</v>
      </c>
      <c r="AJ17" s="36">
        <v>2393075</v>
      </c>
      <c r="AK17" s="63">
        <v>0</v>
      </c>
      <c r="AL17" s="35">
        <f t="shared" si="7"/>
        <v>2393075</v>
      </c>
      <c r="AM17" s="36">
        <v>5302824</v>
      </c>
      <c r="AN17" s="41">
        <v>55000</v>
      </c>
      <c r="AO17" s="35">
        <f t="shared" si="8"/>
        <v>5357824</v>
      </c>
      <c r="AP17" s="36">
        <v>38064782</v>
      </c>
      <c r="AQ17" s="36">
        <v>1714822</v>
      </c>
      <c r="AR17" s="35">
        <f t="shared" si="9"/>
        <v>39779604</v>
      </c>
      <c r="AS17" s="41">
        <v>76827</v>
      </c>
      <c r="AT17" s="36">
        <v>2454772</v>
      </c>
      <c r="AU17" s="35">
        <f t="shared" si="10"/>
        <v>2531599</v>
      </c>
      <c r="AV17" s="36">
        <v>4628325</v>
      </c>
      <c r="AW17" s="63">
        <v>0</v>
      </c>
      <c r="AX17" s="35">
        <f t="shared" si="11"/>
        <v>4628325</v>
      </c>
      <c r="AY17" s="43"/>
      <c r="AZ17" s="43"/>
      <c r="BA17" s="43"/>
      <c r="BB17" s="63">
        <v>0</v>
      </c>
      <c r="BC17" s="36">
        <v>7922890</v>
      </c>
      <c r="BD17" s="35">
        <f t="shared" si="12"/>
        <v>7922890</v>
      </c>
      <c r="BE17" s="36">
        <v>459543</v>
      </c>
      <c r="BF17" s="63">
        <v>0</v>
      </c>
      <c r="BG17" s="35">
        <f t="shared" si="13"/>
        <v>459543</v>
      </c>
      <c r="BH17" s="36">
        <v>3542823</v>
      </c>
      <c r="BI17" s="41">
        <v>347288</v>
      </c>
      <c r="BJ17" s="35">
        <f t="shared" si="14"/>
        <v>3890111</v>
      </c>
      <c r="BK17" s="43"/>
      <c r="BL17" s="43"/>
      <c r="BM17" s="43">
        <v>80556</v>
      </c>
      <c r="BN17" s="36">
        <v>19852</v>
      </c>
      <c r="BO17" s="41">
        <v>89370</v>
      </c>
      <c r="BP17" s="35">
        <f t="shared" si="15"/>
        <v>109222</v>
      </c>
      <c r="BQ17" s="36">
        <v>2855986</v>
      </c>
      <c r="BR17" s="36">
        <v>15437363</v>
      </c>
      <c r="BS17" s="36">
        <v>6120142</v>
      </c>
      <c r="BT17" s="35">
        <f t="shared" si="16"/>
        <v>21557505</v>
      </c>
      <c r="BU17" s="36">
        <v>35929885</v>
      </c>
      <c r="BV17" s="36">
        <v>4923847</v>
      </c>
      <c r="BW17" s="35">
        <f t="shared" si="17"/>
        <v>40853732</v>
      </c>
      <c r="BX17" s="43">
        <v>0</v>
      </c>
      <c r="BY17" s="36">
        <v>11129954</v>
      </c>
      <c r="BZ17" s="63">
        <v>0</v>
      </c>
      <c r="CA17" s="35">
        <f t="shared" si="18"/>
        <v>11129954</v>
      </c>
      <c r="CB17" s="40"/>
      <c r="CC17" s="40"/>
      <c r="CD17" s="40"/>
      <c r="CE17" s="36">
        <v>6881187</v>
      </c>
      <c r="CF17" s="36">
        <v>1961562</v>
      </c>
      <c r="CG17" s="35">
        <f t="shared" si="24"/>
        <v>8842749</v>
      </c>
      <c r="CH17" s="51">
        <f>CE17-SUM(L17,AS17,AY17,BB17,BK17,BX17,CB17)-DV17</f>
        <v>1160624</v>
      </c>
      <c r="CI17" s="51">
        <f>CF17-SUM(E17,J17,M17,AH17,AK17,AN17,AW17,AZ17,BF17,BI17,BO17,BZ17,CC17)-DW17</f>
        <v>1469904</v>
      </c>
      <c r="CJ17" s="51">
        <f t="shared" si="28"/>
        <v>2549972</v>
      </c>
      <c r="CK17" s="34"/>
      <c r="CL17" s="34"/>
      <c r="CM17" s="35"/>
      <c r="CN17" s="36"/>
      <c r="CO17" s="36"/>
      <c r="CP17" s="35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40"/>
      <c r="DL17" s="34">
        <v>17004778</v>
      </c>
      <c r="DM17" s="19">
        <f t="shared" si="25"/>
        <v>562875988</v>
      </c>
      <c r="DN17" s="19">
        <f t="shared" si="26"/>
        <v>37427164</v>
      </c>
      <c r="DO17" s="89">
        <f t="shared" si="20"/>
        <v>617307930</v>
      </c>
      <c r="DP17" s="54">
        <v>568519724</v>
      </c>
      <c r="DQ17" s="54">
        <v>37427164</v>
      </c>
      <c r="DR17" s="54">
        <f t="shared" si="27"/>
        <v>5643736</v>
      </c>
      <c r="DS17" s="54">
        <f t="shared" si="21"/>
        <v>0</v>
      </c>
      <c r="DT17" s="2"/>
      <c r="DU17" s="2"/>
      <c r="DV17" s="44">
        <v>5643736</v>
      </c>
      <c r="DW17" s="44">
        <v>0</v>
      </c>
      <c r="DX17" s="45">
        <f t="shared" si="29"/>
        <v>5643736</v>
      </c>
      <c r="DY17" s="44">
        <v>0</v>
      </c>
      <c r="DZ17" s="2"/>
    </row>
    <row r="18" spans="1:130" ht="13.5" customHeight="1">
      <c r="A18" s="16">
        <v>1888</v>
      </c>
      <c r="B18" s="34">
        <v>23479244</v>
      </c>
      <c r="C18" s="34">
        <v>3473855</v>
      </c>
      <c r="D18" s="35">
        <f t="shared" si="0"/>
        <v>26953099</v>
      </c>
      <c r="E18" s="43"/>
      <c r="F18" s="36">
        <v>31332674</v>
      </c>
      <c r="G18" s="36">
        <v>1634528</v>
      </c>
      <c r="H18" s="35">
        <f t="shared" si="1"/>
        <v>32967202</v>
      </c>
      <c r="I18" s="36">
        <v>310933</v>
      </c>
      <c r="J18" s="63">
        <v>0</v>
      </c>
      <c r="K18" s="35">
        <f t="shared" si="22"/>
        <v>310933</v>
      </c>
      <c r="L18" s="43"/>
      <c r="M18" s="43"/>
      <c r="N18" s="43"/>
      <c r="O18" s="36">
        <v>278724404</v>
      </c>
      <c r="P18" s="36">
        <v>7655151</v>
      </c>
      <c r="Q18" s="35">
        <f t="shared" si="23"/>
        <v>286379555</v>
      </c>
      <c r="R18" s="36"/>
      <c r="S18" s="36"/>
      <c r="T18" s="36"/>
      <c r="U18" s="48"/>
      <c r="V18" s="48"/>
      <c r="W18" s="48"/>
      <c r="X18" s="36">
        <v>181550926</v>
      </c>
      <c r="Y18" s="36">
        <v>1239076</v>
      </c>
      <c r="Z18" s="35">
        <f t="shared" si="3"/>
        <v>182790002</v>
      </c>
      <c r="AA18" s="36">
        <v>52856198</v>
      </c>
      <c r="AB18" s="39">
        <v>573395</v>
      </c>
      <c r="AC18" s="35">
        <f t="shared" si="4"/>
        <v>53429593</v>
      </c>
      <c r="AD18" s="36">
        <v>8753612</v>
      </c>
      <c r="AE18" s="36">
        <v>477286</v>
      </c>
      <c r="AF18" s="35">
        <f t="shared" si="5"/>
        <v>9230898</v>
      </c>
      <c r="AG18" s="36">
        <v>12268336</v>
      </c>
      <c r="AH18" s="63">
        <v>428</v>
      </c>
      <c r="AI18" s="35">
        <f t="shared" si="6"/>
        <v>12268764</v>
      </c>
      <c r="AJ18" s="36">
        <v>2330152</v>
      </c>
      <c r="AK18" s="63">
        <v>0</v>
      </c>
      <c r="AL18" s="35">
        <f t="shared" si="7"/>
        <v>2330152</v>
      </c>
      <c r="AM18" s="36">
        <v>5266542</v>
      </c>
      <c r="AN18" s="41">
        <v>21160</v>
      </c>
      <c r="AO18" s="35">
        <f t="shared" si="8"/>
        <v>5287702</v>
      </c>
      <c r="AP18" s="36">
        <v>26720555</v>
      </c>
      <c r="AQ18" s="36">
        <v>720563</v>
      </c>
      <c r="AR18" s="35">
        <f t="shared" si="9"/>
        <v>27441118</v>
      </c>
      <c r="AS18" s="36">
        <v>396072</v>
      </c>
      <c r="AT18" s="36">
        <v>2503567</v>
      </c>
      <c r="AU18" s="35">
        <f t="shared" si="10"/>
        <v>2899639</v>
      </c>
      <c r="AV18" s="36">
        <v>5598947</v>
      </c>
      <c r="AW18" s="63">
        <v>0</v>
      </c>
      <c r="AX18" s="35">
        <f t="shared" si="11"/>
        <v>5598947</v>
      </c>
      <c r="AY18" s="66">
        <v>422327</v>
      </c>
      <c r="AZ18" s="43"/>
      <c r="BA18" s="43"/>
      <c r="BB18" s="63">
        <v>0</v>
      </c>
      <c r="BC18" s="36">
        <v>8960297</v>
      </c>
      <c r="BD18" s="35">
        <f t="shared" si="12"/>
        <v>8960297</v>
      </c>
      <c r="BE18" s="36">
        <v>475234</v>
      </c>
      <c r="BF18" s="63">
        <v>0</v>
      </c>
      <c r="BG18" s="35">
        <f t="shared" si="13"/>
        <v>475234</v>
      </c>
      <c r="BH18" s="36">
        <v>5298604</v>
      </c>
      <c r="BI18" s="36">
        <v>184973</v>
      </c>
      <c r="BJ18" s="35">
        <f t="shared" si="14"/>
        <v>5483577</v>
      </c>
      <c r="BK18" s="43"/>
      <c r="BL18" s="43"/>
      <c r="BM18" s="43">
        <v>59002</v>
      </c>
      <c r="BN18" s="36">
        <v>16050</v>
      </c>
      <c r="BO18" s="41">
        <v>138858</v>
      </c>
      <c r="BP18" s="35">
        <f t="shared" si="15"/>
        <v>154908</v>
      </c>
      <c r="BQ18" s="36">
        <f>45412+2351145</f>
        <v>2396557</v>
      </c>
      <c r="BR18" s="36">
        <v>17426863</v>
      </c>
      <c r="BS18" s="36">
        <v>6750807</v>
      </c>
      <c r="BT18" s="35">
        <f t="shared" si="16"/>
        <v>24177670</v>
      </c>
      <c r="BU18" s="36">
        <v>52813266</v>
      </c>
      <c r="BV18" s="36">
        <v>6223161</v>
      </c>
      <c r="BW18" s="35">
        <f t="shared" si="17"/>
        <v>59036427</v>
      </c>
      <c r="BX18" s="43">
        <v>0</v>
      </c>
      <c r="BY18" s="36">
        <v>11106735</v>
      </c>
      <c r="BZ18" s="63">
        <v>0</v>
      </c>
      <c r="CA18" s="35">
        <f t="shared" si="18"/>
        <v>11106735</v>
      </c>
      <c r="CB18" s="40"/>
      <c r="CC18" s="40"/>
      <c r="CD18" s="40"/>
      <c r="CE18" s="36">
        <v>11287954</v>
      </c>
      <c r="CF18" s="36">
        <v>3730164</v>
      </c>
      <c r="CG18" s="35">
        <f t="shared" si="24"/>
        <v>15018118</v>
      </c>
      <c r="CH18" s="51">
        <f>CE18-SUM(L18,AY18,BB18,BK18,BX18,CB18)-DV18</f>
        <v>1047678</v>
      </c>
      <c r="CI18" s="51">
        <f>CF18-SUM(E18,J18,M18,AH18,AK18,AN18,AW18,AZ18,BF18,BO18,BZ18,CC18)-DW18</f>
        <v>3569718</v>
      </c>
      <c r="CJ18" s="51">
        <f t="shared" si="28"/>
        <v>4558394</v>
      </c>
      <c r="CK18" s="34"/>
      <c r="CL18" s="34"/>
      <c r="CM18" s="35"/>
      <c r="CN18" s="36"/>
      <c r="CO18" s="36"/>
      <c r="CP18" s="35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40"/>
      <c r="DL18" s="34">
        <v>19327564</v>
      </c>
      <c r="DM18" s="19">
        <f t="shared" si="25"/>
        <v>718195352</v>
      </c>
      <c r="DN18" s="19">
        <f t="shared" si="26"/>
        <v>46523380</v>
      </c>
      <c r="DO18" s="89">
        <f t="shared" si="20"/>
        <v>784046296</v>
      </c>
      <c r="DP18" s="54">
        <v>728013301</v>
      </c>
      <c r="DQ18" s="54">
        <v>46523380</v>
      </c>
      <c r="DR18" s="54">
        <f t="shared" si="27"/>
        <v>9817949</v>
      </c>
      <c r="DS18" s="54">
        <f t="shared" si="21"/>
        <v>0</v>
      </c>
      <c r="DT18" s="2"/>
      <c r="DU18" s="2"/>
      <c r="DV18" s="44">
        <v>9817949</v>
      </c>
      <c r="DW18" s="44">
        <v>0</v>
      </c>
      <c r="DX18" s="45">
        <f t="shared" si="29"/>
        <v>9817949</v>
      </c>
      <c r="DY18" s="44">
        <v>7201</v>
      </c>
      <c r="DZ18" s="2"/>
    </row>
    <row r="19" spans="1:130" ht="13.5" customHeight="1">
      <c r="A19" s="1">
        <v>1889</v>
      </c>
      <c r="B19" s="34">
        <v>27645244</v>
      </c>
      <c r="C19" s="34">
        <v>3327050</v>
      </c>
      <c r="D19" s="35">
        <f t="shared" si="0"/>
        <v>30972294</v>
      </c>
      <c r="E19" s="43"/>
      <c r="F19" s="36">
        <v>24315146</v>
      </c>
      <c r="G19" s="36">
        <v>1881279</v>
      </c>
      <c r="H19" s="35">
        <f t="shared" si="1"/>
        <v>26196425</v>
      </c>
      <c r="I19" s="36">
        <v>517452</v>
      </c>
      <c r="J19" s="63">
        <v>0</v>
      </c>
      <c r="K19" s="35">
        <f t="shared" si="22"/>
        <v>517452</v>
      </c>
      <c r="L19" s="36">
        <v>198900</v>
      </c>
      <c r="M19" s="43"/>
      <c r="N19" s="35">
        <f aca="true" t="shared" si="30" ref="N19:N47">L19+M19</f>
        <v>198900</v>
      </c>
      <c r="O19" s="36">
        <v>257606943</v>
      </c>
      <c r="P19" s="36">
        <v>16770433</v>
      </c>
      <c r="Q19" s="35">
        <f t="shared" si="23"/>
        <v>274377376</v>
      </c>
      <c r="R19" s="36"/>
      <c r="S19" s="36"/>
      <c r="T19" s="36"/>
      <c r="U19" s="48"/>
      <c r="V19" s="48"/>
      <c r="W19" s="48"/>
      <c r="X19" s="36">
        <v>190388010</v>
      </c>
      <c r="Y19" s="36">
        <v>1956558</v>
      </c>
      <c r="Z19" s="35">
        <f t="shared" si="3"/>
        <v>192344568</v>
      </c>
      <c r="AA19" s="36">
        <v>45540485</v>
      </c>
      <c r="AB19" s="39">
        <v>2252880</v>
      </c>
      <c r="AC19" s="35">
        <f t="shared" si="4"/>
        <v>47793365</v>
      </c>
      <c r="AD19" s="36">
        <v>6762283</v>
      </c>
      <c r="AE19" s="36">
        <v>75439</v>
      </c>
      <c r="AF19" s="35">
        <f t="shared" si="5"/>
        <v>6837722</v>
      </c>
      <c r="AG19" s="36">
        <v>11648239</v>
      </c>
      <c r="AH19" s="63">
        <v>22</v>
      </c>
      <c r="AI19" s="35">
        <f t="shared" si="6"/>
        <v>11648261</v>
      </c>
      <c r="AJ19" s="36">
        <v>2779664</v>
      </c>
      <c r="AK19" s="63">
        <v>0</v>
      </c>
      <c r="AL19" s="35">
        <f t="shared" si="7"/>
        <v>2779664</v>
      </c>
      <c r="AM19" s="36">
        <v>6298611</v>
      </c>
      <c r="AN19" s="41">
        <v>455475</v>
      </c>
      <c r="AO19" s="35">
        <f t="shared" si="8"/>
        <v>6754086</v>
      </c>
      <c r="AP19" s="36">
        <v>27306672</v>
      </c>
      <c r="AQ19" s="36">
        <v>2834035</v>
      </c>
      <c r="AR19" s="35">
        <f t="shared" si="9"/>
        <v>30140707</v>
      </c>
      <c r="AS19" s="36">
        <v>171432</v>
      </c>
      <c r="AT19" s="36">
        <v>1187812</v>
      </c>
      <c r="AU19" s="35">
        <f t="shared" si="10"/>
        <v>1359244</v>
      </c>
      <c r="AV19" s="36">
        <v>4008186</v>
      </c>
      <c r="AW19" s="41">
        <v>77500</v>
      </c>
      <c r="AX19" s="35">
        <f t="shared" si="11"/>
        <v>4085686</v>
      </c>
      <c r="AY19" s="43"/>
      <c r="AZ19" s="43"/>
      <c r="BA19" s="43"/>
      <c r="BB19" s="63">
        <v>0</v>
      </c>
      <c r="BC19" s="36">
        <v>8819241</v>
      </c>
      <c r="BD19" s="35">
        <f t="shared" si="12"/>
        <v>8819241</v>
      </c>
      <c r="BE19" s="36">
        <v>398813</v>
      </c>
      <c r="BF19" s="63">
        <v>0</v>
      </c>
      <c r="BG19" s="35">
        <f t="shared" si="13"/>
        <v>398813</v>
      </c>
      <c r="BH19" s="36">
        <v>7275980</v>
      </c>
      <c r="BI19" s="36">
        <v>326366</v>
      </c>
      <c r="BJ19" s="35">
        <f t="shared" si="14"/>
        <v>7602346</v>
      </c>
      <c r="BK19" s="43"/>
      <c r="BL19" s="43"/>
      <c r="BM19" s="43">
        <v>151456</v>
      </c>
      <c r="BN19" s="36">
        <v>1215705</v>
      </c>
      <c r="BO19" s="41">
        <v>305921</v>
      </c>
      <c r="BP19" s="35">
        <f t="shared" si="15"/>
        <v>1521626</v>
      </c>
      <c r="BQ19" s="36">
        <f>13851+2239362</f>
        <v>2253213</v>
      </c>
      <c r="BR19" s="36">
        <v>12491017</v>
      </c>
      <c r="BS19" s="36">
        <v>6266764</v>
      </c>
      <c r="BT19" s="35">
        <f t="shared" si="16"/>
        <v>18757781</v>
      </c>
      <c r="BU19" s="36">
        <v>35233441</v>
      </c>
      <c r="BV19" s="36">
        <v>7659794</v>
      </c>
      <c r="BW19" s="35">
        <f t="shared" si="17"/>
        <v>42893235</v>
      </c>
      <c r="BX19" s="43">
        <v>2858</v>
      </c>
      <c r="BY19" s="36">
        <v>9099009</v>
      </c>
      <c r="BZ19" s="63">
        <v>0</v>
      </c>
      <c r="CA19" s="35">
        <f t="shared" si="18"/>
        <v>9099009</v>
      </c>
      <c r="CB19" s="40"/>
      <c r="CC19" s="40"/>
      <c r="CD19" s="40"/>
      <c r="CE19" s="36">
        <v>16184266</v>
      </c>
      <c r="CF19" s="36">
        <v>5691911</v>
      </c>
      <c r="CG19" s="35">
        <f t="shared" si="24"/>
        <v>21876177</v>
      </c>
      <c r="CH19" s="51">
        <f>CE19-SUM(AY19,BB19,BK19,BX19,CB19)-DV19</f>
        <v>1053939</v>
      </c>
      <c r="CI19" s="51">
        <f>CF19-SUM(E19,J19,M19,AH19,AK19,AN19,AW19,AZ19,BF19,BO19,BZ19,CC19)-DW19</f>
        <v>4852993</v>
      </c>
      <c r="CJ19" s="51">
        <f t="shared" si="28"/>
        <v>5755476</v>
      </c>
      <c r="CK19" s="40"/>
      <c r="CL19" s="40"/>
      <c r="CM19" s="35"/>
      <c r="CN19" s="34"/>
      <c r="CO19" s="34"/>
      <c r="CP19" s="35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40"/>
      <c r="DL19" s="34">
        <v>17614138</v>
      </c>
      <c r="DM19" s="19">
        <f t="shared" si="25"/>
        <v>671958029</v>
      </c>
      <c r="DN19" s="19">
        <f t="shared" si="26"/>
        <v>61302775</v>
      </c>
      <c r="DO19" s="89">
        <f t="shared" si="20"/>
        <v>750874942</v>
      </c>
      <c r="DP19" s="54">
        <v>687085498</v>
      </c>
      <c r="DQ19" s="54">
        <v>61302775</v>
      </c>
      <c r="DR19" s="54">
        <f t="shared" si="27"/>
        <v>15127469</v>
      </c>
      <c r="DS19" s="54">
        <f t="shared" si="21"/>
        <v>0</v>
      </c>
      <c r="DT19" s="2"/>
      <c r="DU19" s="2"/>
      <c r="DV19" s="44">
        <v>15127469</v>
      </c>
      <c r="DW19" s="44">
        <v>0</v>
      </c>
      <c r="DX19" s="45">
        <f t="shared" si="29"/>
        <v>15127469</v>
      </c>
      <c r="DY19" s="44">
        <v>0</v>
      </c>
      <c r="DZ19" s="2"/>
    </row>
    <row r="20" spans="1:130" ht="13.5" customHeight="1">
      <c r="A20" s="1">
        <v>1890</v>
      </c>
      <c r="B20" s="34">
        <v>26861877</v>
      </c>
      <c r="C20" s="34">
        <v>3383342</v>
      </c>
      <c r="D20" s="35">
        <f t="shared" si="0"/>
        <v>30245219</v>
      </c>
      <c r="E20" s="43"/>
      <c r="F20" s="36">
        <v>24687702</v>
      </c>
      <c r="G20" s="36">
        <v>2699766</v>
      </c>
      <c r="H20" s="35">
        <f t="shared" si="1"/>
        <v>27387468</v>
      </c>
      <c r="I20" s="36">
        <v>407791</v>
      </c>
      <c r="J20" s="63">
        <v>1000</v>
      </c>
      <c r="K20" s="35">
        <f t="shared" si="22"/>
        <v>408791</v>
      </c>
      <c r="L20" s="36">
        <v>204600</v>
      </c>
      <c r="M20" s="43"/>
      <c r="N20" s="35">
        <f t="shared" si="30"/>
        <v>204600</v>
      </c>
      <c r="O20" s="36">
        <v>191917551</v>
      </c>
      <c r="P20" s="36">
        <v>11745122</v>
      </c>
      <c r="Q20" s="35">
        <f t="shared" si="23"/>
        <v>203662673</v>
      </c>
      <c r="R20" s="36"/>
      <c r="S20" s="36"/>
      <c r="T20" s="36"/>
      <c r="U20" s="48"/>
      <c r="V20" s="48"/>
      <c r="W20" s="48"/>
      <c r="X20" s="36">
        <v>176481199</v>
      </c>
      <c r="Y20" s="36">
        <v>1458839</v>
      </c>
      <c r="Z20" s="35">
        <f t="shared" si="3"/>
        <v>177940038</v>
      </c>
      <c r="AA20" s="36">
        <v>39980183</v>
      </c>
      <c r="AB20" s="39">
        <v>3557991</v>
      </c>
      <c r="AC20" s="35">
        <f t="shared" si="4"/>
        <v>43538174</v>
      </c>
      <c r="AD20" s="36">
        <v>8249398</v>
      </c>
      <c r="AE20" s="36">
        <v>54328</v>
      </c>
      <c r="AF20" s="35">
        <f t="shared" si="5"/>
        <v>8303726</v>
      </c>
      <c r="AG20" s="36">
        <v>8282293</v>
      </c>
      <c r="AH20" s="41">
        <v>39740</v>
      </c>
      <c r="AI20" s="35">
        <f t="shared" si="6"/>
        <v>8322033</v>
      </c>
      <c r="AJ20" s="36">
        <v>2562486</v>
      </c>
      <c r="AK20" s="63">
        <v>0</v>
      </c>
      <c r="AL20" s="35">
        <f t="shared" si="7"/>
        <v>2562486</v>
      </c>
      <c r="AM20" s="36">
        <v>6936463</v>
      </c>
      <c r="AN20" s="41">
        <v>891059</v>
      </c>
      <c r="AO20" s="35">
        <f t="shared" si="8"/>
        <v>7827522</v>
      </c>
      <c r="AP20" s="36">
        <v>27147651</v>
      </c>
      <c r="AQ20" s="36">
        <v>3189785</v>
      </c>
      <c r="AR20" s="35">
        <f t="shared" si="9"/>
        <v>30337436</v>
      </c>
      <c r="AS20" s="36">
        <v>16630</v>
      </c>
      <c r="AT20" s="36">
        <v>3005028</v>
      </c>
      <c r="AU20" s="35">
        <f t="shared" si="10"/>
        <v>3021658</v>
      </c>
      <c r="AV20" s="36">
        <v>2322203</v>
      </c>
      <c r="AW20" s="41">
        <v>107000</v>
      </c>
      <c r="AX20" s="35">
        <f t="shared" si="11"/>
        <v>2429203</v>
      </c>
      <c r="AY20" s="43"/>
      <c r="AZ20" s="43"/>
      <c r="BA20" s="43"/>
      <c r="BB20" s="63">
        <v>0</v>
      </c>
      <c r="BC20" s="36">
        <v>10895880</v>
      </c>
      <c r="BD20" s="35">
        <f t="shared" si="12"/>
        <v>10895880</v>
      </c>
      <c r="BE20" s="36">
        <v>692282</v>
      </c>
      <c r="BF20" s="63">
        <v>0</v>
      </c>
      <c r="BG20" s="35">
        <f t="shared" si="13"/>
        <v>692282</v>
      </c>
      <c r="BH20" s="36">
        <v>7191916</v>
      </c>
      <c r="BI20" s="36">
        <v>0</v>
      </c>
      <c r="BJ20" s="35">
        <f t="shared" si="14"/>
        <v>7191916</v>
      </c>
      <c r="BK20" s="43"/>
      <c r="BL20" s="43"/>
      <c r="BM20" s="43">
        <v>496411</v>
      </c>
      <c r="BN20" s="36">
        <v>362140</v>
      </c>
      <c r="BO20" s="41">
        <v>583571</v>
      </c>
      <c r="BP20" s="35">
        <f t="shared" si="15"/>
        <v>945711</v>
      </c>
      <c r="BQ20" s="36">
        <v>4075599</v>
      </c>
      <c r="BR20" s="36">
        <v>10636682</v>
      </c>
      <c r="BS20" s="36">
        <v>6135006</v>
      </c>
      <c r="BT20" s="35">
        <f t="shared" si="16"/>
        <v>16771688</v>
      </c>
      <c r="BU20" s="36">
        <v>41824538</v>
      </c>
      <c r="BV20" s="36">
        <v>7540638</v>
      </c>
      <c r="BW20" s="35">
        <f t="shared" si="17"/>
        <v>49365176</v>
      </c>
      <c r="BX20" s="43">
        <v>43271</v>
      </c>
      <c r="BY20" s="36">
        <v>10220810</v>
      </c>
      <c r="BZ20" s="63">
        <v>0</v>
      </c>
      <c r="CA20" s="35">
        <f t="shared" si="18"/>
        <v>10220810</v>
      </c>
      <c r="CB20" s="40"/>
      <c r="CC20" s="40"/>
      <c r="CD20" s="40"/>
      <c r="CE20" s="36">
        <v>23463792</v>
      </c>
      <c r="CF20" s="36">
        <v>20190788</v>
      </c>
      <c r="CG20" s="35">
        <f t="shared" si="24"/>
        <v>43654580</v>
      </c>
      <c r="CH20" s="51">
        <f>CE20-SUM(AY20,BB20,BK20,BX20,CB20)-DV20</f>
        <v>11723692</v>
      </c>
      <c r="CI20" s="51">
        <f>CF20-SUM(E20,J20,M20,AH20,AK20,AN20,AW20,AZ20,BF20,BI20,BO20,BZ20,CC20)-DW20</f>
        <v>18568418</v>
      </c>
      <c r="CJ20" s="51">
        <f t="shared" si="28"/>
        <v>29795699</v>
      </c>
      <c r="CK20" s="40"/>
      <c r="CL20" s="40"/>
      <c r="CM20" s="35"/>
      <c r="CN20" s="34"/>
      <c r="CO20" s="34"/>
      <c r="CP20" s="35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40"/>
      <c r="DL20" s="34">
        <v>16714673</v>
      </c>
      <c r="DM20" s="19">
        <f t="shared" si="25"/>
        <v>598753358</v>
      </c>
      <c r="DN20" s="19">
        <f t="shared" si="26"/>
        <v>77932112</v>
      </c>
      <c r="DO20" s="89">
        <f t="shared" si="20"/>
        <v>693400143</v>
      </c>
      <c r="DP20" s="54">
        <v>610450187</v>
      </c>
      <c r="DQ20" s="54">
        <v>77932112</v>
      </c>
      <c r="DR20" s="54">
        <f t="shared" si="27"/>
        <v>11696829</v>
      </c>
      <c r="DS20" s="54">
        <f t="shared" si="21"/>
        <v>0</v>
      </c>
      <c r="DT20" s="2"/>
      <c r="DU20" s="2"/>
      <c r="DV20" s="44">
        <v>11696829</v>
      </c>
      <c r="DW20" s="44">
        <v>0</v>
      </c>
      <c r="DX20" s="45">
        <f t="shared" si="29"/>
        <v>11696829</v>
      </c>
      <c r="DY20" s="44">
        <v>87</v>
      </c>
      <c r="DZ20" s="2"/>
    </row>
    <row r="21" spans="1:130" ht="13.5" customHeight="1">
      <c r="A21" s="16">
        <v>1891</v>
      </c>
      <c r="B21" s="34">
        <v>29022567</v>
      </c>
      <c r="C21" s="34">
        <v>4978304</v>
      </c>
      <c r="D21" s="35">
        <f t="shared" si="0"/>
        <v>34000871</v>
      </c>
      <c r="E21" s="43"/>
      <c r="F21" s="36">
        <v>20177989</v>
      </c>
      <c r="G21" s="36">
        <v>2891395</v>
      </c>
      <c r="H21" s="35">
        <f t="shared" si="1"/>
        <v>23069384</v>
      </c>
      <c r="I21" s="36">
        <v>320331</v>
      </c>
      <c r="J21" s="63">
        <v>16</v>
      </c>
      <c r="K21" s="35">
        <f t="shared" si="22"/>
        <v>320347</v>
      </c>
      <c r="L21" s="36">
        <v>1265</v>
      </c>
      <c r="M21" s="43"/>
      <c r="N21" s="35">
        <f t="shared" si="30"/>
        <v>1265</v>
      </c>
      <c r="O21" s="36">
        <v>172605066</v>
      </c>
      <c r="P21" s="36">
        <v>7300032</v>
      </c>
      <c r="Q21" s="35">
        <f t="shared" si="23"/>
        <v>179905098</v>
      </c>
      <c r="R21" s="36"/>
      <c r="S21" s="36"/>
      <c r="T21" s="36"/>
      <c r="U21" s="48"/>
      <c r="V21" s="48"/>
      <c r="W21" s="48"/>
      <c r="X21" s="36">
        <v>191526612</v>
      </c>
      <c r="Y21" s="36">
        <v>1405210</v>
      </c>
      <c r="Z21" s="35">
        <f t="shared" si="3"/>
        <v>192931822</v>
      </c>
      <c r="AA21" s="36">
        <v>38482383</v>
      </c>
      <c r="AB21" s="39">
        <v>5581301</v>
      </c>
      <c r="AC21" s="35">
        <f t="shared" si="4"/>
        <v>44063684</v>
      </c>
      <c r="AD21" s="36">
        <v>9970133</v>
      </c>
      <c r="AE21" s="36">
        <v>280826</v>
      </c>
      <c r="AF21" s="35">
        <f t="shared" si="5"/>
        <v>10250959</v>
      </c>
      <c r="AG21" s="36">
        <v>10110966</v>
      </c>
      <c r="AH21" s="63">
        <v>0</v>
      </c>
      <c r="AI21" s="35">
        <f t="shared" si="6"/>
        <v>10110966</v>
      </c>
      <c r="AJ21" s="36">
        <v>1862327</v>
      </c>
      <c r="AK21" s="41">
        <v>2457</v>
      </c>
      <c r="AL21" s="35">
        <f t="shared" si="7"/>
        <v>1864784</v>
      </c>
      <c r="AM21" s="36">
        <v>4438669</v>
      </c>
      <c r="AN21" s="41">
        <v>466450</v>
      </c>
      <c r="AO21" s="35">
        <f t="shared" si="8"/>
        <v>4905119</v>
      </c>
      <c r="AP21" s="36">
        <v>29812838</v>
      </c>
      <c r="AQ21" s="36">
        <v>2584997</v>
      </c>
      <c r="AR21" s="35">
        <f t="shared" si="9"/>
        <v>32397835</v>
      </c>
      <c r="AS21" s="36">
        <v>86483</v>
      </c>
      <c r="AT21" s="36">
        <v>4809865</v>
      </c>
      <c r="AU21" s="35">
        <f t="shared" si="10"/>
        <v>4896348</v>
      </c>
      <c r="AV21" s="36">
        <v>2691788</v>
      </c>
      <c r="AW21" s="63">
        <v>0</v>
      </c>
      <c r="AX21" s="35">
        <f t="shared" si="11"/>
        <v>2691788</v>
      </c>
      <c r="AY21" s="43"/>
      <c r="AZ21" s="43"/>
      <c r="BA21" s="43"/>
      <c r="BB21" s="63">
        <v>0</v>
      </c>
      <c r="BC21" s="36">
        <v>9956891</v>
      </c>
      <c r="BD21" s="35">
        <f t="shared" si="12"/>
        <v>9956891</v>
      </c>
      <c r="BE21" s="36">
        <v>623951</v>
      </c>
      <c r="BF21" s="63">
        <v>0</v>
      </c>
      <c r="BG21" s="35">
        <f t="shared" si="13"/>
        <v>623951</v>
      </c>
      <c r="BH21" s="36">
        <v>8899109</v>
      </c>
      <c r="BI21" s="36">
        <v>0</v>
      </c>
      <c r="BJ21" s="35">
        <f t="shared" si="14"/>
        <v>8899109</v>
      </c>
      <c r="BK21" s="43"/>
      <c r="BL21" s="43"/>
      <c r="BM21" s="43">
        <v>466533</v>
      </c>
      <c r="BN21" s="36">
        <v>815345</v>
      </c>
      <c r="BO21" s="41">
        <v>1203341</v>
      </c>
      <c r="BP21" s="35">
        <f t="shared" si="15"/>
        <v>2018686</v>
      </c>
      <c r="BQ21" s="36">
        <v>4231406</v>
      </c>
      <c r="BR21" s="36">
        <v>12295497</v>
      </c>
      <c r="BS21" s="36">
        <v>8320643</v>
      </c>
      <c r="BT21" s="35">
        <f t="shared" si="16"/>
        <v>20616140</v>
      </c>
      <c r="BU21" s="36">
        <v>43343314</v>
      </c>
      <c r="BV21" s="36">
        <v>5562748</v>
      </c>
      <c r="BW21" s="35">
        <f t="shared" si="17"/>
        <v>48906062</v>
      </c>
      <c r="BX21" s="43">
        <v>4620</v>
      </c>
      <c r="BY21" s="36">
        <v>7620290</v>
      </c>
      <c r="BZ21" s="41">
        <v>50</v>
      </c>
      <c r="CA21" s="35">
        <f t="shared" si="18"/>
        <v>7620340</v>
      </c>
      <c r="CB21" s="40"/>
      <c r="CC21" s="40"/>
      <c r="CD21" s="40"/>
      <c r="CE21" s="36">
        <v>42593011</v>
      </c>
      <c r="CF21" s="36">
        <v>20013730</v>
      </c>
      <c r="CG21" s="35">
        <f t="shared" si="24"/>
        <v>62606741</v>
      </c>
      <c r="CH21" s="51">
        <f>CE21-SUM(AY21,BB21,BK21,BX21,CB21)-DV21</f>
        <v>28362390</v>
      </c>
      <c r="CI21" s="51">
        <f>CF21-SUM(E21,J21,M21,AH21,AK21,AN21,AW21,AZ21,BF21,BI21,BO21,BZ21,CC21)-DW21</f>
        <v>18341416</v>
      </c>
      <c r="CJ21" s="51">
        <f t="shared" si="28"/>
        <v>46237273</v>
      </c>
      <c r="CK21" s="40"/>
      <c r="CL21" s="40"/>
      <c r="CM21" s="35"/>
      <c r="CN21" s="34"/>
      <c r="CO21" s="34"/>
      <c r="CP21" s="35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40"/>
      <c r="DL21" s="34">
        <v>16396288</v>
      </c>
      <c r="DM21" s="19">
        <f t="shared" si="25"/>
        <v>613073933</v>
      </c>
      <c r="DN21" s="19">
        <f t="shared" si="26"/>
        <v>77917348</v>
      </c>
      <c r="DO21" s="89">
        <f t="shared" si="20"/>
        <v>707387569</v>
      </c>
      <c r="DP21" s="54">
        <v>627299934</v>
      </c>
      <c r="DQ21" s="54">
        <v>77917348</v>
      </c>
      <c r="DR21" s="54">
        <f t="shared" si="27"/>
        <v>14226001</v>
      </c>
      <c r="DS21" s="54">
        <f t="shared" si="21"/>
        <v>0</v>
      </c>
      <c r="DT21" s="2"/>
      <c r="DU21" s="2"/>
      <c r="DV21" s="44">
        <v>14226001</v>
      </c>
      <c r="DW21" s="44">
        <v>0</v>
      </c>
      <c r="DX21" s="45">
        <f t="shared" si="29"/>
        <v>14226001</v>
      </c>
      <c r="DY21" s="44">
        <v>0</v>
      </c>
      <c r="DZ21" s="2"/>
    </row>
    <row r="22" spans="1:130" ht="13.5" customHeight="1">
      <c r="A22" s="16">
        <v>1892</v>
      </c>
      <c r="B22" s="34">
        <v>20682411</v>
      </c>
      <c r="C22" s="34">
        <v>3390654</v>
      </c>
      <c r="D22" s="35">
        <f t="shared" si="0"/>
        <v>24073065</v>
      </c>
      <c r="E22" s="43"/>
      <c r="F22" s="36">
        <v>12349486</v>
      </c>
      <c r="G22" s="36">
        <v>2591014</v>
      </c>
      <c r="H22" s="35">
        <f t="shared" si="1"/>
        <v>14940500</v>
      </c>
      <c r="I22" s="36">
        <v>196565</v>
      </c>
      <c r="J22" s="63">
        <v>0</v>
      </c>
      <c r="K22" s="35">
        <f t="shared" si="22"/>
        <v>196565</v>
      </c>
      <c r="L22" s="34">
        <v>0</v>
      </c>
      <c r="M22" s="43"/>
      <c r="N22" s="35">
        <f t="shared" si="30"/>
        <v>0</v>
      </c>
      <c r="O22" s="36">
        <v>109278502</v>
      </c>
      <c r="P22" s="36">
        <v>9245385</v>
      </c>
      <c r="Q22" s="35">
        <f t="shared" si="23"/>
        <v>118523887</v>
      </c>
      <c r="R22" s="36"/>
      <c r="S22" s="36"/>
      <c r="T22" s="36"/>
      <c r="U22" s="48"/>
      <c r="V22" s="48"/>
      <c r="W22" s="48"/>
      <c r="X22" s="36">
        <v>136263658</v>
      </c>
      <c r="Y22" s="36">
        <v>1975764</v>
      </c>
      <c r="Z22" s="35">
        <f t="shared" si="3"/>
        <v>138239422</v>
      </c>
      <c r="AA22" s="36">
        <v>13908103</v>
      </c>
      <c r="AB22" s="39">
        <v>5541774</v>
      </c>
      <c r="AC22" s="35">
        <f t="shared" si="4"/>
        <v>19449877</v>
      </c>
      <c r="AD22" s="36">
        <v>6745873</v>
      </c>
      <c r="AE22" s="36">
        <v>66547</v>
      </c>
      <c r="AF22" s="35">
        <f t="shared" si="5"/>
        <v>6812420</v>
      </c>
      <c r="AG22" s="36">
        <v>4482768</v>
      </c>
      <c r="AH22" s="36">
        <v>358510</v>
      </c>
      <c r="AI22" s="35">
        <f t="shared" si="6"/>
        <v>4841278</v>
      </c>
      <c r="AJ22" s="36">
        <v>1349525</v>
      </c>
      <c r="AK22" s="36">
        <v>146034</v>
      </c>
      <c r="AL22" s="35">
        <f t="shared" si="7"/>
        <v>1495559</v>
      </c>
      <c r="AM22" s="36">
        <v>2410015</v>
      </c>
      <c r="AN22" s="36">
        <v>28242</v>
      </c>
      <c r="AO22" s="35">
        <f t="shared" si="8"/>
        <v>2438257</v>
      </c>
      <c r="AP22" s="36">
        <v>17458533</v>
      </c>
      <c r="AQ22" s="36">
        <v>2176967</v>
      </c>
      <c r="AR22" s="35">
        <f t="shared" si="9"/>
        <v>19635500</v>
      </c>
      <c r="AS22" s="36">
        <v>63122</v>
      </c>
      <c r="AT22" s="36">
        <v>4719351</v>
      </c>
      <c r="AU22" s="35">
        <f t="shared" si="10"/>
        <v>4782473</v>
      </c>
      <c r="AV22" s="36">
        <v>1472816</v>
      </c>
      <c r="AW22" s="36">
        <v>584388</v>
      </c>
      <c r="AX22" s="35">
        <f t="shared" si="11"/>
        <v>2057204</v>
      </c>
      <c r="AY22" s="43"/>
      <c r="AZ22" s="43"/>
      <c r="BA22" s="43"/>
      <c r="BB22" s="63">
        <v>0</v>
      </c>
      <c r="BC22" s="36">
        <v>9340243</v>
      </c>
      <c r="BD22" s="35">
        <f t="shared" si="12"/>
        <v>9340243</v>
      </c>
      <c r="BE22" s="36">
        <v>472965</v>
      </c>
      <c r="BF22" s="63">
        <v>0</v>
      </c>
      <c r="BG22" s="35">
        <f t="shared" si="13"/>
        <v>472965</v>
      </c>
      <c r="BH22" s="36">
        <v>4943049</v>
      </c>
      <c r="BI22" s="36">
        <v>0</v>
      </c>
      <c r="BJ22" s="35">
        <f t="shared" si="14"/>
        <v>4943049</v>
      </c>
      <c r="BK22" s="36">
        <v>28311</v>
      </c>
      <c r="BL22" s="36">
        <v>212319</v>
      </c>
      <c r="BM22" s="35">
        <f>BK22+BL22</f>
        <v>240630</v>
      </c>
      <c r="BN22" s="36">
        <v>833914</v>
      </c>
      <c r="BO22" s="36">
        <v>1701105</v>
      </c>
      <c r="BP22" s="35">
        <f t="shared" si="15"/>
        <v>2535019</v>
      </c>
      <c r="BQ22" s="36">
        <v>2196679</v>
      </c>
      <c r="BR22" s="36">
        <v>8528312</v>
      </c>
      <c r="BS22" s="36">
        <v>7382012</v>
      </c>
      <c r="BT22" s="35">
        <f t="shared" si="16"/>
        <v>15910324</v>
      </c>
      <c r="BU22" s="36">
        <v>29412182</v>
      </c>
      <c r="BV22" s="36">
        <v>5697694</v>
      </c>
      <c r="BW22" s="35">
        <f t="shared" si="17"/>
        <v>35109876</v>
      </c>
      <c r="BX22" s="36">
        <v>4962</v>
      </c>
      <c r="BY22" s="36">
        <v>4445300</v>
      </c>
      <c r="BZ22" s="36">
        <v>148000</v>
      </c>
      <c r="CA22" s="35">
        <f t="shared" si="18"/>
        <v>4593300</v>
      </c>
      <c r="CB22" s="40"/>
      <c r="CC22" s="40"/>
      <c r="CD22" s="40"/>
      <c r="CE22" s="36">
        <v>10565180</v>
      </c>
      <c r="CF22" s="36">
        <v>11083589</v>
      </c>
      <c r="CG22" s="35">
        <f t="shared" si="24"/>
        <v>21648769</v>
      </c>
      <c r="CH22" s="51">
        <f>CE22</f>
        <v>10565180</v>
      </c>
      <c r="CI22" s="51">
        <f>CF22</f>
        <v>11083589</v>
      </c>
      <c r="CJ22" s="51">
        <f t="shared" si="19"/>
        <v>21648769</v>
      </c>
      <c r="CK22" s="40"/>
      <c r="CL22" s="40"/>
      <c r="CM22" s="35"/>
      <c r="CN22" s="34"/>
      <c r="CO22" s="34"/>
      <c r="CP22" s="35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40"/>
      <c r="DL22" s="34">
        <v>21098505</v>
      </c>
      <c r="DM22" s="19">
        <f t="shared" si="25"/>
        <v>385895552</v>
      </c>
      <c r="DN22" s="19">
        <f t="shared" si="26"/>
        <v>68586271</v>
      </c>
      <c r="DO22" s="89">
        <f t="shared" si="20"/>
        <v>475580328</v>
      </c>
      <c r="DP22" s="54">
        <v>399639497</v>
      </c>
      <c r="DQ22" s="54">
        <v>68671716</v>
      </c>
      <c r="DR22" s="54">
        <f t="shared" si="27"/>
        <v>13743945</v>
      </c>
      <c r="DS22" s="54">
        <f t="shared" si="21"/>
        <v>85445</v>
      </c>
      <c r="DT22" s="2"/>
      <c r="DU22" s="2"/>
      <c r="DV22" s="44">
        <v>13743945</v>
      </c>
      <c r="DW22" s="44">
        <v>85445</v>
      </c>
      <c r="DX22" s="45">
        <f t="shared" si="29"/>
        <v>13829390</v>
      </c>
      <c r="DY22" s="44">
        <v>0</v>
      </c>
      <c r="DZ22" s="2"/>
    </row>
    <row r="23" spans="1:130" s="28" customFormat="1" ht="13.5" customHeight="1">
      <c r="A23" s="16">
        <v>1893</v>
      </c>
      <c r="B23" s="36">
        <v>31454558</v>
      </c>
      <c r="C23" s="36">
        <v>3106478</v>
      </c>
      <c r="D23" s="35">
        <f t="shared" si="0"/>
        <v>34561036</v>
      </c>
      <c r="E23" s="43"/>
      <c r="F23" s="36">
        <v>23321178</v>
      </c>
      <c r="G23" s="36">
        <v>1823987</v>
      </c>
      <c r="H23" s="35">
        <f t="shared" si="1"/>
        <v>25145165</v>
      </c>
      <c r="I23" s="36">
        <v>221429</v>
      </c>
      <c r="J23" s="36">
        <v>3800</v>
      </c>
      <c r="K23" s="35">
        <f t="shared" si="22"/>
        <v>225229</v>
      </c>
      <c r="L23" s="36">
        <v>0</v>
      </c>
      <c r="M23" s="43"/>
      <c r="N23" s="35">
        <f t="shared" si="30"/>
        <v>0</v>
      </c>
      <c r="O23" s="36">
        <v>143433810</v>
      </c>
      <c r="P23" s="36">
        <v>11702699</v>
      </c>
      <c r="Q23" s="35">
        <f t="shared" si="23"/>
        <v>155136509</v>
      </c>
      <c r="R23" s="36"/>
      <c r="S23" s="36"/>
      <c r="T23" s="36"/>
      <c r="U23" s="49"/>
      <c r="V23" s="49"/>
      <c r="W23" s="49"/>
      <c r="X23" s="36">
        <v>131224897</v>
      </c>
      <c r="Y23" s="36">
        <v>1355354</v>
      </c>
      <c r="Z23" s="35">
        <f t="shared" si="3"/>
        <v>132580251</v>
      </c>
      <c r="AA23" s="36">
        <v>20301420</v>
      </c>
      <c r="AB23" s="39">
        <v>4363777</v>
      </c>
      <c r="AC23" s="35">
        <f t="shared" si="4"/>
        <v>24665197</v>
      </c>
      <c r="AD23" s="36">
        <v>7023097</v>
      </c>
      <c r="AE23" s="36">
        <v>226084</v>
      </c>
      <c r="AF23" s="35">
        <f t="shared" si="5"/>
        <v>7249181</v>
      </c>
      <c r="AG23" s="36">
        <v>9557639</v>
      </c>
      <c r="AH23" s="36">
        <v>79117</v>
      </c>
      <c r="AI23" s="35">
        <f t="shared" si="6"/>
        <v>9636756</v>
      </c>
      <c r="AJ23" s="36">
        <v>1727616</v>
      </c>
      <c r="AK23" s="36">
        <v>98408</v>
      </c>
      <c r="AL23" s="35">
        <f t="shared" si="7"/>
        <v>1826024</v>
      </c>
      <c r="AM23" s="36">
        <v>5153533</v>
      </c>
      <c r="AN23" s="36">
        <v>1056700</v>
      </c>
      <c r="AO23" s="35">
        <f t="shared" si="8"/>
        <v>6210233</v>
      </c>
      <c r="AP23" s="36">
        <v>26578618</v>
      </c>
      <c r="AQ23" s="36">
        <v>4075783</v>
      </c>
      <c r="AR23" s="35">
        <f t="shared" si="9"/>
        <v>30654401</v>
      </c>
      <c r="AS23" s="36">
        <v>34483</v>
      </c>
      <c r="AT23" s="36">
        <v>4052753</v>
      </c>
      <c r="AU23" s="35">
        <f t="shared" si="10"/>
        <v>4087236</v>
      </c>
      <c r="AV23" s="36">
        <v>5113947</v>
      </c>
      <c r="AW23" s="36">
        <v>130050</v>
      </c>
      <c r="AX23" s="35">
        <f t="shared" si="11"/>
        <v>5243997</v>
      </c>
      <c r="AY23" s="43"/>
      <c r="AZ23" s="43"/>
      <c r="BA23" s="43"/>
      <c r="BB23" s="63">
        <v>0</v>
      </c>
      <c r="BC23" s="36">
        <v>11949887</v>
      </c>
      <c r="BD23" s="35">
        <f t="shared" si="12"/>
        <v>11949887</v>
      </c>
      <c r="BE23" s="36">
        <v>285336</v>
      </c>
      <c r="BF23" s="36">
        <v>0</v>
      </c>
      <c r="BG23" s="35">
        <f t="shared" si="13"/>
        <v>285336</v>
      </c>
      <c r="BH23" s="36">
        <v>5994923</v>
      </c>
      <c r="BI23" s="36">
        <v>0</v>
      </c>
      <c r="BJ23" s="35">
        <f t="shared" si="14"/>
        <v>5994923</v>
      </c>
      <c r="BK23" s="36">
        <v>1916</v>
      </c>
      <c r="BL23" s="36">
        <v>256042</v>
      </c>
      <c r="BM23" s="35">
        <f>BK23+BL23</f>
        <v>257958</v>
      </c>
      <c r="BN23" s="36">
        <v>456450</v>
      </c>
      <c r="BO23" s="36">
        <v>2249439</v>
      </c>
      <c r="BP23" s="35">
        <f t="shared" si="15"/>
        <v>2705889</v>
      </c>
      <c r="BQ23" s="36">
        <v>2589262</v>
      </c>
      <c r="BR23" s="36">
        <v>9016974</v>
      </c>
      <c r="BS23" s="36">
        <v>7772954</v>
      </c>
      <c r="BT23" s="35">
        <f t="shared" si="16"/>
        <v>16789928</v>
      </c>
      <c r="BU23" s="36">
        <v>62230932</v>
      </c>
      <c r="BV23" s="36">
        <v>9606414</v>
      </c>
      <c r="BW23" s="35">
        <f t="shared" si="17"/>
        <v>71837346</v>
      </c>
      <c r="BX23" s="36">
        <v>3695</v>
      </c>
      <c r="BY23" s="36">
        <v>4983072</v>
      </c>
      <c r="BZ23" s="36">
        <v>231</v>
      </c>
      <c r="CA23" s="35">
        <f t="shared" si="18"/>
        <v>4983303</v>
      </c>
      <c r="CB23" s="40"/>
      <c r="CC23" s="40"/>
      <c r="CD23" s="40"/>
      <c r="CE23" s="36">
        <v>17775770</v>
      </c>
      <c r="CF23" s="36">
        <v>8288188</v>
      </c>
      <c r="CG23" s="35">
        <f t="shared" si="24"/>
        <v>26063958</v>
      </c>
      <c r="CH23" s="51">
        <f>CE23</f>
        <v>17775770</v>
      </c>
      <c r="CI23" s="51">
        <f>CF23</f>
        <v>8288188</v>
      </c>
      <c r="CJ23" s="51">
        <f t="shared" si="19"/>
        <v>26063958</v>
      </c>
      <c r="CK23" s="39"/>
      <c r="CL23" s="39"/>
      <c r="CM23" s="35"/>
      <c r="CN23" s="36"/>
      <c r="CO23" s="36"/>
      <c r="CP23" s="35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40"/>
      <c r="DL23" s="36">
        <v>18527848</v>
      </c>
      <c r="DM23" s="19">
        <f t="shared" si="25"/>
        <v>505895293</v>
      </c>
      <c r="DN23" s="19">
        <f t="shared" si="26"/>
        <v>74787407</v>
      </c>
      <c r="DO23" s="89">
        <f t="shared" si="20"/>
        <v>599210548</v>
      </c>
      <c r="DP23" s="54">
        <v>520391649</v>
      </c>
      <c r="DQ23" s="54">
        <v>74812912</v>
      </c>
      <c r="DR23" s="54">
        <f t="shared" si="27"/>
        <v>14496356</v>
      </c>
      <c r="DS23" s="54">
        <f t="shared" si="21"/>
        <v>25505</v>
      </c>
      <c r="DT23" s="4"/>
      <c r="DU23" s="4"/>
      <c r="DV23" s="44">
        <v>14496356</v>
      </c>
      <c r="DW23" s="44">
        <v>25505</v>
      </c>
      <c r="DX23" s="45">
        <f t="shared" si="29"/>
        <v>14521861</v>
      </c>
      <c r="DY23" s="44">
        <v>0</v>
      </c>
      <c r="DZ23" s="4"/>
    </row>
    <row r="24" spans="1:130" ht="13.5" customHeight="1">
      <c r="A24" s="16">
        <v>1894</v>
      </c>
      <c r="B24" s="34">
        <v>37364763</v>
      </c>
      <c r="C24" s="34">
        <v>2436029</v>
      </c>
      <c r="D24" s="35">
        <f t="shared" si="0"/>
        <v>39800792</v>
      </c>
      <c r="E24" s="43"/>
      <c r="F24" s="36">
        <v>24078596</v>
      </c>
      <c r="G24" s="36">
        <v>2684580</v>
      </c>
      <c r="H24" s="35">
        <f t="shared" si="1"/>
        <v>26763176</v>
      </c>
      <c r="I24" s="36">
        <v>327360</v>
      </c>
      <c r="J24" s="36">
        <v>3305</v>
      </c>
      <c r="K24" s="35">
        <f t="shared" si="22"/>
        <v>330665</v>
      </c>
      <c r="L24" s="34">
        <v>0</v>
      </c>
      <c r="M24" s="34">
        <v>0</v>
      </c>
      <c r="N24" s="35">
        <f t="shared" si="30"/>
        <v>0</v>
      </c>
      <c r="O24" s="36">
        <v>161601269</v>
      </c>
      <c r="P24" s="36">
        <v>13702042</v>
      </c>
      <c r="Q24" s="35">
        <f t="shared" si="23"/>
        <v>175303311</v>
      </c>
      <c r="R24" s="36"/>
      <c r="S24" s="36"/>
      <c r="T24" s="36"/>
      <c r="U24" s="48"/>
      <c r="V24" s="48"/>
      <c r="W24" s="48"/>
      <c r="X24" s="36">
        <v>146141569</v>
      </c>
      <c r="Y24" s="36">
        <v>1724974</v>
      </c>
      <c r="Z24" s="35">
        <f t="shared" si="3"/>
        <v>147866543</v>
      </c>
      <c r="AA24" s="36">
        <v>43621512</v>
      </c>
      <c r="AB24" s="39">
        <v>9389904</v>
      </c>
      <c r="AC24" s="35">
        <f t="shared" si="4"/>
        <v>53011416</v>
      </c>
      <c r="AD24" s="36">
        <v>4333672</v>
      </c>
      <c r="AE24" s="36">
        <v>353683</v>
      </c>
      <c r="AF24" s="35">
        <f t="shared" si="5"/>
        <v>4687355</v>
      </c>
      <c r="AG24" s="36">
        <v>12347121</v>
      </c>
      <c r="AH24" s="36">
        <v>0</v>
      </c>
      <c r="AI24" s="35">
        <f t="shared" si="6"/>
        <v>12347121</v>
      </c>
      <c r="AJ24" s="36">
        <v>1505409</v>
      </c>
      <c r="AK24" s="36">
        <v>403657</v>
      </c>
      <c r="AL24" s="35">
        <f t="shared" si="7"/>
        <v>1909066</v>
      </c>
      <c r="AM24" s="36">
        <v>5734884</v>
      </c>
      <c r="AN24" s="36">
        <v>31133</v>
      </c>
      <c r="AO24" s="35">
        <f t="shared" si="8"/>
        <v>5766017</v>
      </c>
      <c r="AP24" s="36">
        <v>24869789</v>
      </c>
      <c r="AQ24" s="36">
        <v>2035802</v>
      </c>
      <c r="AR24" s="35">
        <f t="shared" si="9"/>
        <v>26905591</v>
      </c>
      <c r="AS24" s="36">
        <v>13959</v>
      </c>
      <c r="AT24" s="36">
        <v>4474437</v>
      </c>
      <c r="AU24" s="35">
        <f t="shared" si="10"/>
        <v>4488396</v>
      </c>
      <c r="AV24" s="36">
        <v>4714453</v>
      </c>
      <c r="AW24" s="36">
        <v>57600</v>
      </c>
      <c r="AX24" s="35">
        <f t="shared" si="11"/>
        <v>4772053</v>
      </c>
      <c r="AY24" s="36">
        <v>122260</v>
      </c>
      <c r="AZ24" s="36">
        <v>0</v>
      </c>
      <c r="BA24" s="35">
        <f aca="true" t="shared" si="31" ref="BA24:BA47">AY24+AZ24</f>
        <v>122260</v>
      </c>
      <c r="BB24" s="36">
        <v>0</v>
      </c>
      <c r="BC24" s="36">
        <v>12223300</v>
      </c>
      <c r="BD24" s="35">
        <f t="shared" si="12"/>
        <v>12223300</v>
      </c>
      <c r="BE24" s="36">
        <v>228763</v>
      </c>
      <c r="BF24" s="36">
        <v>0</v>
      </c>
      <c r="BG24" s="35">
        <f t="shared" si="13"/>
        <v>228763</v>
      </c>
      <c r="BH24" s="36">
        <v>7726998</v>
      </c>
      <c r="BI24" s="36">
        <v>0</v>
      </c>
      <c r="BJ24" s="35">
        <f t="shared" si="14"/>
        <v>7726998</v>
      </c>
      <c r="BK24" s="36">
        <v>58548</v>
      </c>
      <c r="BL24" s="36">
        <v>294331</v>
      </c>
      <c r="BM24" s="35">
        <f aca="true" t="shared" si="32" ref="BM24:BM47">BK24+BL24</f>
        <v>352879</v>
      </c>
      <c r="BN24" s="36">
        <v>283168</v>
      </c>
      <c r="BO24" s="36">
        <v>1390491</v>
      </c>
      <c r="BP24" s="35">
        <f t="shared" si="15"/>
        <v>1673659</v>
      </c>
      <c r="BQ24" s="36">
        <v>3291900</v>
      </c>
      <c r="BR24" s="36">
        <v>9860767</v>
      </c>
      <c r="BS24" s="36">
        <v>6228275</v>
      </c>
      <c r="BT24" s="35">
        <f t="shared" si="16"/>
        <v>16089042</v>
      </c>
      <c r="BU24" s="36">
        <v>49627860</v>
      </c>
      <c r="BV24" s="36">
        <v>6532660</v>
      </c>
      <c r="BW24" s="35">
        <f t="shared" si="17"/>
        <v>56160520</v>
      </c>
      <c r="BX24" s="36">
        <v>180553</v>
      </c>
      <c r="BY24" s="36">
        <v>4151673</v>
      </c>
      <c r="BZ24" s="36">
        <v>0</v>
      </c>
      <c r="CA24" s="35">
        <f t="shared" si="18"/>
        <v>4151673</v>
      </c>
      <c r="CB24" s="40"/>
      <c r="CC24" s="40"/>
      <c r="CD24" s="40"/>
      <c r="CE24" s="36">
        <v>41462216</v>
      </c>
      <c r="CF24" s="36">
        <v>5834814</v>
      </c>
      <c r="CG24" s="35">
        <f t="shared" si="24"/>
        <v>47297030</v>
      </c>
      <c r="CH24" s="51">
        <f>CE24-CK24-CN24</f>
        <v>422233</v>
      </c>
      <c r="CI24" s="51">
        <f>CF24-CL24-CO24</f>
        <v>3592804</v>
      </c>
      <c r="CJ24" s="51">
        <f t="shared" si="19"/>
        <v>4015037</v>
      </c>
      <c r="CK24" s="42">
        <v>40324437</v>
      </c>
      <c r="CL24" s="42">
        <v>2184547</v>
      </c>
      <c r="CM24" s="62">
        <f aca="true" t="shared" si="33" ref="CM24:CM44">CK24+CL24</f>
        <v>42508984</v>
      </c>
      <c r="CN24" s="41">
        <v>715546</v>
      </c>
      <c r="CO24" s="41">
        <v>57463</v>
      </c>
      <c r="CP24" s="62">
        <f aca="true" t="shared" si="34" ref="CP24:CP44">CN24+CO24</f>
        <v>773009</v>
      </c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40"/>
      <c r="DL24" s="34">
        <v>15302836</v>
      </c>
      <c r="DM24" s="19">
        <f>SUM(B24,F24,I24,L24,O24,X24,AA24,AD24,AG24,AJ24,AM24,AP24,AS24,AV24,AY24,BB24,BE24,BH24,BK24,BN24,BR24,BU24,BX24,BY24,CE24)</f>
        <v>580357162</v>
      </c>
      <c r="DN24" s="19">
        <f>SUM(C24,E24,G24,J24,M24,P24,Y24,AB24,AE24,AH24,AK24,AN24,AQ24,AT24,AW24,AZ24,BC24,BF24,BI24,BL24,BO24,BQ24,BS24,BV24,BZ24,CF24)</f>
        <v>73092917</v>
      </c>
      <c r="DO24" s="89">
        <f t="shared" si="20"/>
        <v>668752915</v>
      </c>
      <c r="DP24" s="54"/>
      <c r="DQ24" s="54"/>
      <c r="DR24" s="54"/>
      <c r="DS24" s="54"/>
      <c r="DT24" s="2" t="s">
        <v>76</v>
      </c>
      <c r="DU24" s="2"/>
      <c r="DV24" s="2">
        <v>15776690</v>
      </c>
      <c r="DW24" s="2">
        <v>88873</v>
      </c>
      <c r="DX24" s="35">
        <f t="shared" si="29"/>
        <v>15865563</v>
      </c>
      <c r="DY24" s="2"/>
      <c r="DZ24" s="2"/>
    </row>
    <row r="25" spans="1:130" ht="13.5" customHeight="1">
      <c r="A25" s="16">
        <v>1895</v>
      </c>
      <c r="B25" s="34">
        <v>32561621</v>
      </c>
      <c r="C25" s="34">
        <v>1962028</v>
      </c>
      <c r="D25" s="35">
        <f t="shared" si="0"/>
        <v>34523649</v>
      </c>
      <c r="E25" s="36">
        <v>640047</v>
      </c>
      <c r="F25" s="36">
        <v>23306533</v>
      </c>
      <c r="G25" s="36">
        <v>2588460</v>
      </c>
      <c r="H25" s="35">
        <f t="shared" si="1"/>
        <v>25894993</v>
      </c>
      <c r="I25" s="36">
        <v>125184</v>
      </c>
      <c r="J25" s="36">
        <v>0</v>
      </c>
      <c r="K25" s="35">
        <f t="shared" si="22"/>
        <v>125184</v>
      </c>
      <c r="L25" s="34">
        <v>0</v>
      </c>
      <c r="M25" s="34">
        <v>0</v>
      </c>
      <c r="N25" s="35">
        <f t="shared" si="30"/>
        <v>0</v>
      </c>
      <c r="O25" s="36">
        <v>159008518</v>
      </c>
      <c r="P25" s="36">
        <v>15840108</v>
      </c>
      <c r="Q25" s="35">
        <f t="shared" si="23"/>
        <v>174848626</v>
      </c>
      <c r="R25" s="36"/>
      <c r="S25" s="36"/>
      <c r="T25" s="36"/>
      <c r="U25" s="48"/>
      <c r="V25" s="48"/>
      <c r="W25" s="48"/>
      <c r="X25" s="36">
        <v>176299754</v>
      </c>
      <c r="Y25" s="36">
        <v>2976180</v>
      </c>
      <c r="Z25" s="35">
        <f t="shared" si="3"/>
        <v>179275934</v>
      </c>
      <c r="AA25" s="36">
        <v>48968085</v>
      </c>
      <c r="AB25" s="39">
        <v>10215765</v>
      </c>
      <c r="AC25" s="35">
        <f t="shared" si="4"/>
        <v>59183850</v>
      </c>
      <c r="AD25" s="36">
        <v>6587114</v>
      </c>
      <c r="AE25" s="36">
        <v>170119</v>
      </c>
      <c r="AF25" s="35">
        <f t="shared" si="5"/>
        <v>6757233</v>
      </c>
      <c r="AG25" s="36">
        <v>10541287</v>
      </c>
      <c r="AH25" s="36">
        <v>0</v>
      </c>
      <c r="AI25" s="35">
        <f t="shared" si="6"/>
        <v>10541287</v>
      </c>
      <c r="AJ25" s="36">
        <v>1068122</v>
      </c>
      <c r="AK25" s="36">
        <v>3794857</v>
      </c>
      <c r="AL25" s="35">
        <f t="shared" si="7"/>
        <v>4862979</v>
      </c>
      <c r="AM25" s="36">
        <v>3156125</v>
      </c>
      <c r="AN25" s="36">
        <v>260479</v>
      </c>
      <c r="AO25" s="35">
        <f t="shared" si="8"/>
        <v>3416604</v>
      </c>
      <c r="AP25" s="36">
        <v>29723441</v>
      </c>
      <c r="AQ25" s="36">
        <v>2694823</v>
      </c>
      <c r="AR25" s="35">
        <f t="shared" si="9"/>
        <v>32418264</v>
      </c>
      <c r="AS25" s="36">
        <v>14470</v>
      </c>
      <c r="AT25" s="36">
        <v>5033025</v>
      </c>
      <c r="AU25" s="35">
        <f t="shared" si="10"/>
        <v>5047495</v>
      </c>
      <c r="AV25" s="36">
        <v>4454322</v>
      </c>
      <c r="AW25" s="36">
        <v>26800</v>
      </c>
      <c r="AX25" s="35">
        <f t="shared" si="11"/>
        <v>4481122</v>
      </c>
      <c r="AY25" s="36">
        <v>95449</v>
      </c>
      <c r="AZ25" s="36">
        <v>5160</v>
      </c>
      <c r="BA25" s="35">
        <f t="shared" si="31"/>
        <v>100609</v>
      </c>
      <c r="BB25" s="36">
        <v>0</v>
      </c>
      <c r="BC25" s="36">
        <v>14159723</v>
      </c>
      <c r="BD25" s="35">
        <f t="shared" si="12"/>
        <v>14159723</v>
      </c>
      <c r="BE25" s="36">
        <v>820466</v>
      </c>
      <c r="BF25" s="36">
        <v>0</v>
      </c>
      <c r="BG25" s="35">
        <f t="shared" si="13"/>
        <v>820466</v>
      </c>
      <c r="BH25" s="36">
        <v>9821611</v>
      </c>
      <c r="BI25" s="36">
        <v>0</v>
      </c>
      <c r="BJ25" s="35">
        <f t="shared" si="14"/>
        <v>9821611</v>
      </c>
      <c r="BK25" s="36">
        <v>113595</v>
      </c>
      <c r="BL25" s="36">
        <v>370630</v>
      </c>
      <c r="BM25" s="35">
        <f t="shared" si="32"/>
        <v>484225</v>
      </c>
      <c r="BN25" s="36">
        <v>585014</v>
      </c>
      <c r="BO25" s="36">
        <v>1622328</v>
      </c>
      <c r="BP25" s="35">
        <f t="shared" si="15"/>
        <v>2207342</v>
      </c>
      <c r="BQ25" s="43"/>
      <c r="BR25" s="36">
        <v>8334479</v>
      </c>
      <c r="BS25" s="36">
        <v>5184505</v>
      </c>
      <c r="BT25" s="35">
        <f t="shared" si="16"/>
        <v>13518984</v>
      </c>
      <c r="BU25" s="36">
        <v>42572083</v>
      </c>
      <c r="BV25" s="36">
        <v>6958599</v>
      </c>
      <c r="BW25" s="35">
        <f t="shared" si="17"/>
        <v>49530682</v>
      </c>
      <c r="BX25" s="36">
        <v>22465</v>
      </c>
      <c r="BY25" s="36">
        <v>6027950</v>
      </c>
      <c r="BZ25" s="36">
        <v>0</v>
      </c>
      <c r="CA25" s="35">
        <f t="shared" si="18"/>
        <v>6027950</v>
      </c>
      <c r="CB25" s="43"/>
      <c r="CC25" s="43"/>
      <c r="CD25" s="43"/>
      <c r="CE25" s="36">
        <v>28755025</v>
      </c>
      <c r="CF25" s="36">
        <v>6101841</v>
      </c>
      <c r="CG25" s="35">
        <f t="shared" si="24"/>
        <v>34856866</v>
      </c>
      <c r="CH25" s="51">
        <f>CE25-CK25-CN25</f>
        <v>375153</v>
      </c>
      <c r="CI25" s="51">
        <f>CF25-CL25-CO25</f>
        <v>5667336</v>
      </c>
      <c r="CJ25" s="51">
        <f t="shared" si="19"/>
        <v>6042489</v>
      </c>
      <c r="CK25" s="42">
        <v>27397914</v>
      </c>
      <c r="CL25" s="42">
        <v>426177</v>
      </c>
      <c r="CM25" s="62">
        <f>CK25+CL25</f>
        <v>27824091</v>
      </c>
      <c r="CN25" s="41">
        <v>981958</v>
      </c>
      <c r="CO25" s="41">
        <v>8328</v>
      </c>
      <c r="CP25" s="62">
        <f>CN25+CO25</f>
        <v>990286</v>
      </c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40"/>
      <c r="DL25" s="34">
        <v>15514073</v>
      </c>
      <c r="DM25" s="19">
        <f>SUM(B25,F25,I25,L25,O25,X25,AA25,AD25,AG25,AJ25,AM25,AP25,AS25,AV25,AY25,BB25,BE25,BH25,BK25,BN25,BR25,BU25,BX25,BY25,CE25)</f>
        <v>592962713</v>
      </c>
      <c r="DN25" s="19">
        <f>SUM(C25,E25,G25,J25,M25,P25,Y25,AB25,AE25,AH25,AK25,AN25,AQ25,AT25,AW25,AZ25,BC25,BF25,BI25,BL25,BO25,BQ25,BS25,BV25,BZ25,CF25)</f>
        <v>80605477</v>
      </c>
      <c r="DO25" s="89">
        <f t="shared" si="20"/>
        <v>689082263</v>
      </c>
      <c r="DP25" s="54"/>
      <c r="DQ25" s="54"/>
      <c r="DR25" s="54"/>
      <c r="DS25" s="54"/>
      <c r="DT25" s="2" t="s">
        <v>78</v>
      </c>
      <c r="DU25" s="2"/>
      <c r="DV25" s="2">
        <v>23570950</v>
      </c>
      <c r="DW25" s="2">
        <v>199581</v>
      </c>
      <c r="DX25" s="35">
        <f t="shared" si="29"/>
        <v>23770531</v>
      </c>
      <c r="DY25" s="2"/>
      <c r="DZ25" s="2"/>
    </row>
    <row r="26" spans="1:130" ht="13.5" customHeight="1">
      <c r="A26" s="16">
        <v>1896</v>
      </c>
      <c r="B26" s="34">
        <v>28820448</v>
      </c>
      <c r="C26" s="34">
        <v>1121435</v>
      </c>
      <c r="D26" s="35">
        <f t="shared" si="0"/>
        <v>29941883</v>
      </c>
      <c r="E26" s="36">
        <v>906571</v>
      </c>
      <c r="F26" s="36">
        <v>20585116</v>
      </c>
      <c r="G26" s="36">
        <v>2557592</v>
      </c>
      <c r="H26" s="35">
        <f t="shared" si="1"/>
        <v>23142708</v>
      </c>
      <c r="I26" s="36">
        <v>461953</v>
      </c>
      <c r="J26" s="36">
        <v>0</v>
      </c>
      <c r="K26" s="35">
        <f t="shared" si="22"/>
        <v>461953</v>
      </c>
      <c r="L26" s="34">
        <v>0</v>
      </c>
      <c r="M26" s="34">
        <v>0</v>
      </c>
      <c r="N26" s="35">
        <f t="shared" si="30"/>
        <v>0</v>
      </c>
      <c r="O26" s="36">
        <v>148471092</v>
      </c>
      <c r="P26" s="36">
        <v>12431841</v>
      </c>
      <c r="Q26" s="35">
        <f t="shared" si="23"/>
        <v>160902933</v>
      </c>
      <c r="R26" s="36"/>
      <c r="S26" s="36"/>
      <c r="T26" s="36"/>
      <c r="U26" s="48"/>
      <c r="V26" s="48"/>
      <c r="W26" s="48"/>
      <c r="X26" s="36">
        <v>181169993</v>
      </c>
      <c r="Y26" s="36">
        <v>2834554</v>
      </c>
      <c r="Z26" s="35">
        <f t="shared" si="3"/>
        <v>184004547</v>
      </c>
      <c r="AA26" s="36">
        <v>61392743</v>
      </c>
      <c r="AB26" s="39">
        <v>9457298</v>
      </c>
      <c r="AC26" s="35">
        <f t="shared" si="4"/>
        <v>70850041</v>
      </c>
      <c r="AD26" s="36">
        <v>4905953</v>
      </c>
      <c r="AE26" s="36">
        <v>372958</v>
      </c>
      <c r="AF26" s="35">
        <f t="shared" si="5"/>
        <v>5278911</v>
      </c>
      <c r="AG26" s="36">
        <v>8933836</v>
      </c>
      <c r="AH26" s="36">
        <v>164166</v>
      </c>
      <c r="AI26" s="35">
        <f t="shared" si="6"/>
        <v>9098002</v>
      </c>
      <c r="AJ26" s="36">
        <v>979106</v>
      </c>
      <c r="AK26" s="36">
        <v>2810501</v>
      </c>
      <c r="AL26" s="35">
        <f t="shared" si="7"/>
        <v>3789607</v>
      </c>
      <c r="AM26" s="36">
        <v>4927002</v>
      </c>
      <c r="AN26" s="36">
        <v>918513</v>
      </c>
      <c r="AO26" s="35">
        <f t="shared" si="8"/>
        <v>5845515</v>
      </c>
      <c r="AP26" s="36">
        <v>32931059</v>
      </c>
      <c r="AQ26" s="36">
        <v>3481361</v>
      </c>
      <c r="AR26" s="35">
        <f t="shared" si="9"/>
        <v>36412420</v>
      </c>
      <c r="AS26" s="36">
        <v>18366</v>
      </c>
      <c r="AT26" s="36">
        <f>1260949+3131643+976023+97583+16081</f>
        <v>5482279</v>
      </c>
      <c r="AU26" s="35">
        <f t="shared" si="10"/>
        <v>5500645</v>
      </c>
      <c r="AV26" s="36">
        <v>4570011</v>
      </c>
      <c r="AW26" s="36">
        <v>0</v>
      </c>
      <c r="AX26" s="35">
        <f t="shared" si="11"/>
        <v>4570011</v>
      </c>
      <c r="AY26" s="36">
        <v>63215</v>
      </c>
      <c r="AZ26" s="36">
        <v>0</v>
      </c>
      <c r="BA26" s="35">
        <f t="shared" si="31"/>
        <v>63215</v>
      </c>
      <c r="BB26" s="36">
        <v>0</v>
      </c>
      <c r="BC26" s="36">
        <f>10716677+3216220+568548</f>
        <v>14501445</v>
      </c>
      <c r="BD26" s="35">
        <f t="shared" si="12"/>
        <v>14501445</v>
      </c>
      <c r="BE26" s="36">
        <v>2017267</v>
      </c>
      <c r="BF26" s="36">
        <v>0</v>
      </c>
      <c r="BG26" s="35">
        <f t="shared" si="13"/>
        <v>2017267</v>
      </c>
      <c r="BH26" s="36">
        <v>7691319</v>
      </c>
      <c r="BI26" s="36">
        <v>0</v>
      </c>
      <c r="BJ26" s="35">
        <f t="shared" si="14"/>
        <v>7691319</v>
      </c>
      <c r="BK26" s="36">
        <v>76998</v>
      </c>
      <c r="BL26" s="36">
        <v>249992</v>
      </c>
      <c r="BM26" s="35">
        <f t="shared" si="32"/>
        <v>326990</v>
      </c>
      <c r="BN26" s="36">
        <v>407202</v>
      </c>
      <c r="BO26" s="36">
        <v>1198402</v>
      </c>
      <c r="BP26" s="35">
        <f t="shared" si="15"/>
        <v>1605604</v>
      </c>
      <c r="BQ26" s="2"/>
      <c r="BR26" s="36">
        <v>6698748</v>
      </c>
      <c r="BS26" s="36">
        <v>7640865</v>
      </c>
      <c r="BT26" s="35">
        <f t="shared" si="16"/>
        <v>14339613</v>
      </c>
      <c r="BU26" s="36">
        <v>50067735</v>
      </c>
      <c r="BV26" s="36">
        <v>8135940</v>
      </c>
      <c r="BW26" s="35">
        <f t="shared" si="17"/>
        <v>58203675</v>
      </c>
      <c r="BX26" s="36">
        <v>1490</v>
      </c>
      <c r="BY26" s="36">
        <v>6428653</v>
      </c>
      <c r="BZ26" s="36">
        <v>0</v>
      </c>
      <c r="CA26" s="35">
        <f t="shared" si="18"/>
        <v>6428653</v>
      </c>
      <c r="CB26" s="36">
        <v>70251</v>
      </c>
      <c r="CC26" s="36">
        <v>0</v>
      </c>
      <c r="CD26" s="35">
        <f aca="true" t="shared" si="35" ref="CD26:CD47">CB26+CC26</f>
        <v>70251</v>
      </c>
      <c r="CE26" s="36">
        <v>22019001</v>
      </c>
      <c r="CF26" s="36">
        <v>2942875</v>
      </c>
      <c r="CG26" s="35">
        <f t="shared" si="24"/>
        <v>24961876</v>
      </c>
      <c r="CH26" s="51">
        <f>CE26-CK26-CN26-CR26-CZ26</f>
        <v>319055</v>
      </c>
      <c r="CI26" s="51">
        <f>CF26</f>
        <v>2942875</v>
      </c>
      <c r="CJ26" s="51">
        <f t="shared" si="19"/>
        <v>3261930</v>
      </c>
      <c r="CK26" s="42">
        <v>20176631</v>
      </c>
      <c r="CL26" s="67">
        <v>0</v>
      </c>
      <c r="CM26" s="62">
        <f t="shared" si="33"/>
        <v>20176631</v>
      </c>
      <c r="CN26" s="42">
        <v>1380001</v>
      </c>
      <c r="CO26" s="67">
        <v>0</v>
      </c>
      <c r="CP26" s="62">
        <f t="shared" si="34"/>
        <v>1380001</v>
      </c>
      <c r="CQ26" s="41"/>
      <c r="CR26" s="41">
        <v>50534</v>
      </c>
      <c r="CS26" s="41"/>
      <c r="CT26" s="41"/>
      <c r="CU26" s="41"/>
      <c r="CV26" s="41"/>
      <c r="CW26" s="41"/>
      <c r="CX26" s="41"/>
      <c r="CY26" s="41"/>
      <c r="CZ26" s="41">
        <v>92780</v>
      </c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0"/>
      <c r="DL26" s="34">
        <v>17655091</v>
      </c>
      <c r="DM26" s="19">
        <f aca="true" t="shared" si="36" ref="DM26:DM31">SUM(B26,F26,I26,L26,O26,X26,AA26,AD26,AG26,AJ26,AM26,AP26,AS26,AV26,AY26,BB26,BE26,BH26,BK26,BN26,BR26,BU26,BX26,BY26,CB26,CE26)</f>
        <v>593708557</v>
      </c>
      <c r="DN26" s="19">
        <f>SUM(C26,E26,G26,J26,M26,P26,Y26,AB26,AE26,AH26,AK26,AN26,AQ26,AT26,AW26,AZ26,BC26,BF26,BI26,BL26,BO26,BS26,BV26,BZ26,CF26)</f>
        <v>77208588</v>
      </c>
      <c r="DO26" s="89">
        <f>DM26+DN26+DL26</f>
        <v>688572236</v>
      </c>
      <c r="DP26" s="55"/>
      <c r="DQ26" s="55"/>
      <c r="DR26" s="54"/>
      <c r="DS26" s="54"/>
      <c r="DT26" s="2"/>
      <c r="DU26" s="2"/>
      <c r="DV26" s="2">
        <f>2775227+20437188+8070+407445+690267</f>
        <v>24318197</v>
      </c>
      <c r="DW26" s="2">
        <v>234265</v>
      </c>
      <c r="DX26" s="35">
        <f t="shared" si="29"/>
        <v>24552462</v>
      </c>
      <c r="DY26" s="2"/>
      <c r="DZ26" s="2"/>
    </row>
    <row r="27" spans="1:130" ht="13.5" customHeight="1">
      <c r="A27" s="16">
        <v>1897</v>
      </c>
      <c r="B27" s="34">
        <v>37599810</v>
      </c>
      <c r="C27" s="34">
        <v>1491576</v>
      </c>
      <c r="D27" s="35">
        <f t="shared" si="0"/>
        <v>39091386</v>
      </c>
      <c r="E27" s="36">
        <v>479278</v>
      </c>
      <c r="F27" s="36">
        <v>30970931</v>
      </c>
      <c r="G27" s="36">
        <v>1741146</v>
      </c>
      <c r="H27" s="35">
        <f t="shared" si="1"/>
        <v>32712077</v>
      </c>
      <c r="I27" s="36">
        <v>698019</v>
      </c>
      <c r="J27" s="36">
        <v>204804</v>
      </c>
      <c r="K27" s="35">
        <f t="shared" si="22"/>
        <v>902823</v>
      </c>
      <c r="L27" s="34">
        <v>0</v>
      </c>
      <c r="M27" s="34">
        <v>0</v>
      </c>
      <c r="N27" s="35">
        <f t="shared" si="30"/>
        <v>0</v>
      </c>
      <c r="O27" s="36">
        <v>146359368</v>
      </c>
      <c r="P27" s="36">
        <v>4548618</v>
      </c>
      <c r="Q27" s="35">
        <f t="shared" si="23"/>
        <v>150907986</v>
      </c>
      <c r="R27" s="36"/>
      <c r="S27" s="36"/>
      <c r="T27" s="36"/>
      <c r="U27" s="48"/>
      <c r="V27" s="48"/>
      <c r="W27" s="48"/>
      <c r="X27" s="36">
        <v>172212490</v>
      </c>
      <c r="Y27" s="36">
        <v>3044940</v>
      </c>
      <c r="Z27" s="35">
        <f t="shared" si="3"/>
        <v>175257430</v>
      </c>
      <c r="AA27" s="36">
        <v>82090489</v>
      </c>
      <c r="AB27" s="39">
        <v>5166848</v>
      </c>
      <c r="AC27" s="35">
        <f t="shared" si="4"/>
        <v>87257337</v>
      </c>
      <c r="AD27" s="36">
        <v>5452023</v>
      </c>
      <c r="AE27" s="36">
        <v>605354</v>
      </c>
      <c r="AF27" s="35">
        <f t="shared" si="5"/>
        <v>6057377</v>
      </c>
      <c r="AG27" s="36">
        <v>8703356</v>
      </c>
      <c r="AH27" s="36">
        <v>630639</v>
      </c>
      <c r="AI27" s="35">
        <f t="shared" si="6"/>
        <v>9333995</v>
      </c>
      <c r="AJ27" s="36">
        <v>1303972</v>
      </c>
      <c r="AK27" s="36">
        <v>4512023</v>
      </c>
      <c r="AL27" s="35">
        <f t="shared" si="7"/>
        <v>5815995</v>
      </c>
      <c r="AM27" s="36">
        <v>2579251</v>
      </c>
      <c r="AN27" s="36">
        <v>1393314</v>
      </c>
      <c r="AO27" s="35">
        <f t="shared" si="8"/>
        <v>3972565</v>
      </c>
      <c r="AP27" s="36">
        <v>28875458</v>
      </c>
      <c r="AQ27" s="36">
        <v>2595426</v>
      </c>
      <c r="AR27" s="35">
        <f t="shared" si="9"/>
        <v>31470884</v>
      </c>
      <c r="AS27" s="36">
        <v>3603</v>
      </c>
      <c r="AT27" s="36">
        <v>6426668</v>
      </c>
      <c r="AU27" s="35">
        <f t="shared" si="10"/>
        <v>6430271</v>
      </c>
      <c r="AV27" s="36">
        <v>6162047</v>
      </c>
      <c r="AW27" s="36">
        <v>0</v>
      </c>
      <c r="AX27" s="35">
        <f t="shared" si="11"/>
        <v>6162047</v>
      </c>
      <c r="AY27" s="36">
        <v>2038</v>
      </c>
      <c r="AZ27" s="36">
        <v>1913604</v>
      </c>
      <c r="BA27" s="35">
        <f t="shared" si="31"/>
        <v>1915642</v>
      </c>
      <c r="BB27" s="36">
        <v>0</v>
      </c>
      <c r="BC27" s="36">
        <v>16036032</v>
      </c>
      <c r="BD27" s="35">
        <f t="shared" si="12"/>
        <v>16036032</v>
      </c>
      <c r="BE27" s="36">
        <v>1898565</v>
      </c>
      <c r="BF27" s="36">
        <v>80780</v>
      </c>
      <c r="BG27" s="35">
        <f t="shared" si="13"/>
        <v>1979345</v>
      </c>
      <c r="BH27" s="36">
        <v>10723193</v>
      </c>
      <c r="BI27" s="36">
        <v>202925</v>
      </c>
      <c r="BJ27" s="35">
        <f t="shared" si="14"/>
        <v>10926118</v>
      </c>
      <c r="BK27" s="36">
        <v>648936</v>
      </c>
      <c r="BL27" s="36">
        <v>417</v>
      </c>
      <c r="BM27" s="35">
        <f t="shared" si="32"/>
        <v>649353</v>
      </c>
      <c r="BN27" s="36">
        <v>1133347</v>
      </c>
      <c r="BO27" s="36">
        <v>1573749</v>
      </c>
      <c r="BP27" s="35">
        <f t="shared" si="15"/>
        <v>2707096</v>
      </c>
      <c r="BQ27" s="2"/>
      <c r="BR27" s="36">
        <v>9822881</v>
      </c>
      <c r="BS27" s="36">
        <v>3202408</v>
      </c>
      <c r="BT27" s="35">
        <f t="shared" si="16"/>
        <v>13025289</v>
      </c>
      <c r="BU27" s="36">
        <v>56693947</v>
      </c>
      <c r="BV27" s="36">
        <v>7050852</v>
      </c>
      <c r="BW27" s="35">
        <f t="shared" si="17"/>
        <v>63744799</v>
      </c>
      <c r="BX27" s="34">
        <v>89606</v>
      </c>
      <c r="BY27" s="36">
        <v>8832237</v>
      </c>
      <c r="BZ27" s="36">
        <v>0</v>
      </c>
      <c r="CA27" s="35">
        <f t="shared" si="18"/>
        <v>8832237</v>
      </c>
      <c r="CB27" s="36">
        <v>62420</v>
      </c>
      <c r="CC27" s="36">
        <v>0</v>
      </c>
      <c r="CD27" s="35">
        <f t="shared" si="35"/>
        <v>62420</v>
      </c>
      <c r="CE27" s="36">
        <v>19948162</v>
      </c>
      <c r="CF27" s="36">
        <v>424374</v>
      </c>
      <c r="CG27" s="35">
        <f t="shared" si="24"/>
        <v>20372536</v>
      </c>
      <c r="CH27" s="51">
        <f>CE27-CK27-CN27-CR27-CY27-CZ27</f>
        <v>8863852</v>
      </c>
      <c r="CI27" s="51">
        <f>CF27-CL27-CO27</f>
        <v>325803</v>
      </c>
      <c r="CJ27" s="51">
        <f t="shared" si="19"/>
        <v>9189655</v>
      </c>
      <c r="CK27" s="42">
        <v>9952944</v>
      </c>
      <c r="CL27" s="42">
        <v>19640</v>
      </c>
      <c r="CM27" s="62">
        <f t="shared" si="33"/>
        <v>9972584</v>
      </c>
      <c r="CN27" s="41">
        <v>730066</v>
      </c>
      <c r="CO27" s="41">
        <v>78931</v>
      </c>
      <c r="CP27" s="62">
        <f t="shared" si="34"/>
        <v>808997</v>
      </c>
      <c r="CQ27" s="41"/>
      <c r="CR27" s="41">
        <v>1145</v>
      </c>
      <c r="CS27" s="41"/>
      <c r="CT27" s="41"/>
      <c r="CU27" s="41"/>
      <c r="CV27" s="41"/>
      <c r="CW27" s="41"/>
      <c r="CX27" s="41"/>
      <c r="CY27" s="41">
        <v>800</v>
      </c>
      <c r="CZ27" s="42">
        <v>399355</v>
      </c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0"/>
      <c r="DL27" s="34">
        <v>30431666</v>
      </c>
      <c r="DM27" s="19">
        <f t="shared" si="36"/>
        <v>632866149</v>
      </c>
      <c r="DN27" s="19">
        <f>SUM(C27,E27,G27,J27,M27,P27,Y27,AB27,AE27,AH27,AK27,AN27,AQ27,AT27,AW27,AZ27,BC27,BF27,BI27,BL27,BO27,BS27,BV27,BZ27,CC27,CF27)</f>
        <v>63325775</v>
      </c>
      <c r="DO27" s="89">
        <f t="shared" si="20"/>
        <v>726623590</v>
      </c>
      <c r="DP27" s="55"/>
      <c r="DQ27" s="55"/>
      <c r="DR27" s="54"/>
      <c r="DS27" s="54"/>
      <c r="DT27" s="2"/>
      <c r="DU27" s="2"/>
      <c r="DV27" s="2">
        <v>24837335</v>
      </c>
      <c r="DW27" s="2">
        <v>77646</v>
      </c>
      <c r="DX27" s="35">
        <f t="shared" si="29"/>
        <v>24914981</v>
      </c>
      <c r="DY27" s="2"/>
      <c r="DZ27" s="2"/>
    </row>
    <row r="28" spans="1:130" ht="13.5" customHeight="1">
      <c r="A28" s="16">
        <v>1898</v>
      </c>
      <c r="B28" s="34">
        <v>40582848</v>
      </c>
      <c r="C28" s="34">
        <v>1833317</v>
      </c>
      <c r="D28" s="35">
        <f t="shared" si="0"/>
        <v>42416165</v>
      </c>
      <c r="E28" s="36">
        <v>727637</v>
      </c>
      <c r="F28" s="36">
        <v>26870726</v>
      </c>
      <c r="G28" s="36">
        <v>1916858</v>
      </c>
      <c r="H28" s="35">
        <f t="shared" si="1"/>
        <v>28787584</v>
      </c>
      <c r="I28" s="36">
        <v>415558</v>
      </c>
      <c r="J28" s="36">
        <v>95175</v>
      </c>
      <c r="K28" s="35">
        <f t="shared" si="22"/>
        <v>510733</v>
      </c>
      <c r="L28" s="34">
        <v>0</v>
      </c>
      <c r="M28" s="34">
        <v>0</v>
      </c>
      <c r="N28" s="35">
        <f t="shared" si="30"/>
        <v>0</v>
      </c>
      <c r="O28" s="36">
        <v>133395135</v>
      </c>
      <c r="P28" s="36">
        <v>6510921</v>
      </c>
      <c r="Q28" s="35">
        <f t="shared" si="23"/>
        <v>139906056</v>
      </c>
      <c r="R28" s="36"/>
      <c r="S28" s="36"/>
      <c r="T28" s="36"/>
      <c r="U28" s="48"/>
      <c r="V28" s="48"/>
      <c r="W28" s="48"/>
      <c r="X28" s="36">
        <v>177060677</v>
      </c>
      <c r="Y28" s="36">
        <v>2375440</v>
      </c>
      <c r="Z28" s="35">
        <f t="shared" si="3"/>
        <v>179436117</v>
      </c>
      <c r="AA28" s="36">
        <v>68084163</v>
      </c>
      <c r="AB28" s="39">
        <v>4172764</v>
      </c>
      <c r="AC28" s="35">
        <f t="shared" si="4"/>
        <v>72256927</v>
      </c>
      <c r="AD28" s="36">
        <v>8967727</v>
      </c>
      <c r="AE28" s="36">
        <v>685495</v>
      </c>
      <c r="AF28" s="35">
        <f t="shared" si="5"/>
        <v>9653222</v>
      </c>
      <c r="AG28" s="36">
        <v>9329269</v>
      </c>
      <c r="AH28" s="36">
        <v>527710</v>
      </c>
      <c r="AI28" s="35">
        <f t="shared" si="6"/>
        <v>9856979</v>
      </c>
      <c r="AJ28" s="36">
        <v>1641453</v>
      </c>
      <c r="AK28" s="36">
        <v>5085389</v>
      </c>
      <c r="AL28" s="35">
        <f t="shared" si="7"/>
        <v>6726842</v>
      </c>
      <c r="AM28" s="36">
        <v>1825868</v>
      </c>
      <c r="AN28" s="36">
        <v>972524</v>
      </c>
      <c r="AO28" s="35">
        <f t="shared" si="8"/>
        <v>2798392</v>
      </c>
      <c r="AP28" s="36">
        <v>48325278</v>
      </c>
      <c r="AQ28" s="36">
        <v>6282334</v>
      </c>
      <c r="AR28" s="35">
        <f t="shared" si="9"/>
        <v>54607612</v>
      </c>
      <c r="AS28" s="36">
        <v>15078</v>
      </c>
      <c r="AT28" s="36">
        <v>6241853</v>
      </c>
      <c r="AU28" s="35">
        <f t="shared" si="10"/>
        <v>6256931</v>
      </c>
      <c r="AV28" s="36">
        <v>4470131</v>
      </c>
      <c r="AW28" s="36">
        <v>0</v>
      </c>
      <c r="AX28" s="35">
        <f t="shared" si="11"/>
        <v>4470131</v>
      </c>
      <c r="AY28" s="36">
        <v>29090</v>
      </c>
      <c r="AZ28" s="36">
        <v>1827363</v>
      </c>
      <c r="BA28" s="35">
        <f t="shared" si="31"/>
        <v>1856453</v>
      </c>
      <c r="BB28" s="36">
        <v>6661</v>
      </c>
      <c r="BC28" s="36">
        <v>17027752</v>
      </c>
      <c r="BD28" s="35">
        <f t="shared" si="12"/>
        <v>17034413</v>
      </c>
      <c r="BE28" s="36">
        <v>218694</v>
      </c>
      <c r="BF28" s="36">
        <v>0</v>
      </c>
      <c r="BG28" s="35">
        <f t="shared" si="13"/>
        <v>218694</v>
      </c>
      <c r="BH28" s="36">
        <v>12495510</v>
      </c>
      <c r="BI28" s="36">
        <v>179759</v>
      </c>
      <c r="BJ28" s="35">
        <f t="shared" si="14"/>
        <v>12675269</v>
      </c>
      <c r="BK28" s="36">
        <v>89895</v>
      </c>
      <c r="BL28" s="36">
        <v>432</v>
      </c>
      <c r="BM28" s="35">
        <f t="shared" si="32"/>
        <v>90327</v>
      </c>
      <c r="BN28" s="36">
        <v>1525954</v>
      </c>
      <c r="BO28" s="36">
        <v>1488282</v>
      </c>
      <c r="BP28" s="35">
        <f t="shared" si="15"/>
        <v>3014236</v>
      </c>
      <c r="BQ28" s="2"/>
      <c r="BR28" s="36">
        <v>11243338</v>
      </c>
      <c r="BS28" s="36">
        <v>3234623</v>
      </c>
      <c r="BT28" s="35">
        <f t="shared" si="16"/>
        <v>14477961</v>
      </c>
      <c r="BU28" s="36">
        <v>59527516</v>
      </c>
      <c r="BV28" s="36">
        <v>9066783</v>
      </c>
      <c r="BW28" s="35">
        <f t="shared" si="17"/>
        <v>68594299</v>
      </c>
      <c r="BX28" s="34">
        <v>43725</v>
      </c>
      <c r="BY28" s="36">
        <v>8316133</v>
      </c>
      <c r="BZ28" s="36">
        <v>0</v>
      </c>
      <c r="CA28" s="35">
        <f t="shared" si="18"/>
        <v>8316133</v>
      </c>
      <c r="CB28" s="36">
        <v>33330</v>
      </c>
      <c r="CC28" s="36">
        <v>0</v>
      </c>
      <c r="CD28" s="35">
        <f t="shared" si="35"/>
        <v>33330</v>
      </c>
      <c r="CE28" s="36">
        <v>14481330</v>
      </c>
      <c r="CF28" s="36">
        <v>160968</v>
      </c>
      <c r="CG28" s="35">
        <f t="shared" si="24"/>
        <v>14642298</v>
      </c>
      <c r="CH28" s="51">
        <f>CE28-CK28-CN28-CR28-CY28-CZ28-DB28-DJ28</f>
        <v>6480677</v>
      </c>
      <c r="CI28" s="51">
        <f>CF28-CO28</f>
        <v>117928</v>
      </c>
      <c r="CJ28" s="51">
        <f t="shared" si="19"/>
        <v>6598605</v>
      </c>
      <c r="CK28" s="41">
        <v>6779032</v>
      </c>
      <c r="CL28" s="67">
        <v>0</v>
      </c>
      <c r="CM28" s="62">
        <f t="shared" si="33"/>
        <v>6779032</v>
      </c>
      <c r="CN28" s="41">
        <v>773965</v>
      </c>
      <c r="CO28" s="41">
        <v>43040</v>
      </c>
      <c r="CP28" s="62">
        <f t="shared" si="34"/>
        <v>817005</v>
      </c>
      <c r="CQ28" s="41"/>
      <c r="CR28" s="41">
        <v>7160</v>
      </c>
      <c r="CS28" s="41"/>
      <c r="CT28" s="41"/>
      <c r="CU28" s="41"/>
      <c r="CV28" s="41"/>
      <c r="CW28" s="41"/>
      <c r="CX28" s="41"/>
      <c r="CY28" s="41">
        <v>62010</v>
      </c>
      <c r="CZ28" s="41">
        <v>345714</v>
      </c>
      <c r="DA28" s="41"/>
      <c r="DB28" s="41">
        <v>7500</v>
      </c>
      <c r="DC28" s="41"/>
      <c r="DD28" s="41"/>
      <c r="DE28" s="41"/>
      <c r="DF28" s="41"/>
      <c r="DG28" s="41"/>
      <c r="DH28" s="41"/>
      <c r="DI28" s="41"/>
      <c r="DJ28" s="41">
        <v>25272</v>
      </c>
      <c r="DK28" s="40"/>
      <c r="DL28" s="34">
        <v>33264142</v>
      </c>
      <c r="DM28" s="19">
        <f t="shared" si="36"/>
        <v>628995087</v>
      </c>
      <c r="DN28" s="19">
        <f>SUM(C28,E28,G28,J28,M28,P28,Y28,AB28,AE28,AH28,AK28,AN28,AQ28,AT28,AW28,AZ28,BC28,BF28,BI28,BL28,BO28,BS28,BV28,BZ28,CC28,CF28)</f>
        <v>70413379</v>
      </c>
      <c r="DO28" s="89">
        <f t="shared" si="20"/>
        <v>732672608</v>
      </c>
      <c r="DP28" s="55"/>
      <c r="DQ28" s="55"/>
      <c r="DR28" s="54"/>
      <c r="DS28" s="54"/>
      <c r="DT28" s="2" t="s">
        <v>77</v>
      </c>
      <c r="DU28" s="2"/>
      <c r="DV28" s="2"/>
      <c r="DW28" s="2"/>
      <c r="DX28" s="2"/>
      <c r="DY28" s="2"/>
      <c r="DZ28" s="2"/>
    </row>
    <row r="29" spans="1:130" ht="13.5" customHeight="1">
      <c r="A29" s="16">
        <v>1899</v>
      </c>
      <c r="B29" s="34">
        <v>25409370</v>
      </c>
      <c r="C29" s="34">
        <v>1228093</v>
      </c>
      <c r="D29" s="35">
        <f t="shared" si="0"/>
        <v>26637463</v>
      </c>
      <c r="E29" s="36">
        <v>981836</v>
      </c>
      <c r="F29" s="36">
        <v>20918114</v>
      </c>
      <c r="G29" s="36">
        <v>2613586</v>
      </c>
      <c r="H29" s="35">
        <f t="shared" si="1"/>
        <v>23531700</v>
      </c>
      <c r="I29" s="36">
        <v>461959</v>
      </c>
      <c r="J29" s="36">
        <v>22574</v>
      </c>
      <c r="K29" s="35">
        <f t="shared" si="22"/>
        <v>484533</v>
      </c>
      <c r="L29" s="34">
        <v>0</v>
      </c>
      <c r="M29" s="34">
        <v>0</v>
      </c>
      <c r="N29" s="35">
        <f t="shared" si="30"/>
        <v>0</v>
      </c>
      <c r="O29" s="36">
        <v>119272631</v>
      </c>
      <c r="P29" s="36">
        <v>9889316</v>
      </c>
      <c r="Q29" s="35">
        <f t="shared" si="23"/>
        <v>129161947</v>
      </c>
      <c r="R29" s="36"/>
      <c r="S29" s="36"/>
      <c r="T29" s="36"/>
      <c r="U29" s="48"/>
      <c r="V29" s="48"/>
      <c r="W29" s="48"/>
      <c r="X29" s="36">
        <v>158817785</v>
      </c>
      <c r="Y29" s="36">
        <v>4746361</v>
      </c>
      <c r="Z29" s="35">
        <f t="shared" si="3"/>
        <v>163564146</v>
      </c>
      <c r="AA29" s="36">
        <v>42189595</v>
      </c>
      <c r="AB29" s="39">
        <v>6631763</v>
      </c>
      <c r="AC29" s="35">
        <f t="shared" si="4"/>
        <v>48821358</v>
      </c>
      <c r="AD29" s="36">
        <v>8536849</v>
      </c>
      <c r="AE29" s="36">
        <v>1257362</v>
      </c>
      <c r="AF29" s="35">
        <f t="shared" si="5"/>
        <v>9794211</v>
      </c>
      <c r="AG29" s="36">
        <v>11579138</v>
      </c>
      <c r="AH29" s="36">
        <v>761699</v>
      </c>
      <c r="AI29" s="35">
        <f t="shared" si="6"/>
        <v>12340837</v>
      </c>
      <c r="AJ29" s="36">
        <v>1224772</v>
      </c>
      <c r="AK29" s="36">
        <v>4363221</v>
      </c>
      <c r="AL29" s="35">
        <f t="shared" si="7"/>
        <v>5587993</v>
      </c>
      <c r="AM29" s="36">
        <v>6911518</v>
      </c>
      <c r="AN29" s="36">
        <v>517911</v>
      </c>
      <c r="AO29" s="35">
        <f t="shared" si="8"/>
        <v>7429429</v>
      </c>
      <c r="AP29" s="36">
        <v>24253015</v>
      </c>
      <c r="AQ29" s="36">
        <v>3502004</v>
      </c>
      <c r="AR29" s="35">
        <f t="shared" si="9"/>
        <v>27755019</v>
      </c>
      <c r="AS29" s="36">
        <v>3613</v>
      </c>
      <c r="AT29" s="36">
        <v>7521984</v>
      </c>
      <c r="AU29" s="35">
        <f t="shared" si="10"/>
        <v>7525597</v>
      </c>
      <c r="AV29" s="36">
        <v>4807459</v>
      </c>
      <c r="AW29" s="36">
        <v>140231</v>
      </c>
      <c r="AX29" s="35">
        <f t="shared" si="11"/>
        <v>4947690</v>
      </c>
      <c r="AY29" s="36">
        <v>335</v>
      </c>
      <c r="AZ29" s="36">
        <v>3235147</v>
      </c>
      <c r="BA29" s="35">
        <f t="shared" si="31"/>
        <v>3235482</v>
      </c>
      <c r="BB29" s="36">
        <v>0</v>
      </c>
      <c r="BC29" s="36">
        <v>17859000</v>
      </c>
      <c r="BD29" s="35">
        <f t="shared" si="12"/>
        <v>17859000</v>
      </c>
      <c r="BE29" s="36">
        <v>113830</v>
      </c>
      <c r="BF29" s="36">
        <v>193716</v>
      </c>
      <c r="BG29" s="35">
        <f t="shared" si="13"/>
        <v>307546</v>
      </c>
      <c r="BH29" s="36">
        <v>6338907</v>
      </c>
      <c r="BI29" s="36">
        <v>249247</v>
      </c>
      <c r="BJ29" s="35">
        <f t="shared" si="14"/>
        <v>6588154</v>
      </c>
      <c r="BK29" s="36">
        <v>127745</v>
      </c>
      <c r="BL29" s="36">
        <v>965</v>
      </c>
      <c r="BM29" s="35">
        <f t="shared" si="32"/>
        <v>128710</v>
      </c>
      <c r="BN29" s="36">
        <v>1903721</v>
      </c>
      <c r="BO29" s="36">
        <v>2484368</v>
      </c>
      <c r="BP29" s="35">
        <f t="shared" si="15"/>
        <v>4388089</v>
      </c>
      <c r="BQ29" s="2"/>
      <c r="BR29" s="36">
        <v>9707371</v>
      </c>
      <c r="BS29" s="36">
        <v>2974407</v>
      </c>
      <c r="BT29" s="35">
        <f t="shared" si="16"/>
        <v>12681778</v>
      </c>
      <c r="BU29" s="36">
        <v>51743893</v>
      </c>
      <c r="BV29" s="36">
        <v>8124902</v>
      </c>
      <c r="BW29" s="35">
        <f t="shared" si="17"/>
        <v>59868795</v>
      </c>
      <c r="BX29" s="34">
        <v>37960</v>
      </c>
      <c r="BY29" s="36">
        <v>9172894</v>
      </c>
      <c r="BZ29" s="36">
        <v>122175</v>
      </c>
      <c r="CA29" s="35">
        <f t="shared" si="18"/>
        <v>9295069</v>
      </c>
      <c r="CB29" s="36">
        <v>9812</v>
      </c>
      <c r="CC29" s="36">
        <v>217882</v>
      </c>
      <c r="CD29" s="35">
        <f t="shared" si="35"/>
        <v>227694</v>
      </c>
      <c r="CE29" s="36">
        <v>7219671</v>
      </c>
      <c r="CF29" s="36">
        <v>1465655</v>
      </c>
      <c r="CG29" s="35">
        <f t="shared" si="24"/>
        <v>8685326</v>
      </c>
      <c r="CH29" s="51">
        <f>CE29-CK29-CN29-CR29-1335-CY29-DB29-DJ29</f>
        <v>2263331</v>
      </c>
      <c r="CI29" s="51">
        <f>CF29-CL29-CO29-CQ29-CT29-16660</f>
        <v>48684</v>
      </c>
      <c r="CJ29" s="51">
        <f t="shared" si="19"/>
        <v>2312015</v>
      </c>
      <c r="CK29" s="41">
        <v>4613804</v>
      </c>
      <c r="CL29" s="41">
        <v>1198230</v>
      </c>
      <c r="CM29" s="62">
        <f t="shared" si="33"/>
        <v>5812034</v>
      </c>
      <c r="CN29" s="41">
        <v>257900</v>
      </c>
      <c r="CO29" s="41">
        <v>88923</v>
      </c>
      <c r="CP29" s="62">
        <f t="shared" si="34"/>
        <v>346823</v>
      </c>
      <c r="CQ29" s="41">
        <v>2228</v>
      </c>
      <c r="CR29" s="41">
        <v>2561</v>
      </c>
      <c r="CS29" s="41"/>
      <c r="CT29" s="41">
        <v>110930</v>
      </c>
      <c r="CU29" s="41"/>
      <c r="CV29" s="41"/>
      <c r="CW29" s="41"/>
      <c r="CX29" s="41"/>
      <c r="CY29" s="41">
        <v>8000</v>
      </c>
      <c r="CZ29" s="41">
        <f>1335+16660</f>
        <v>17995</v>
      </c>
      <c r="DA29" s="41"/>
      <c r="DB29" s="41">
        <v>39695</v>
      </c>
      <c r="DC29" s="41"/>
      <c r="DD29" s="41"/>
      <c r="DE29" s="41"/>
      <c r="DF29" s="41"/>
      <c r="DG29" s="41"/>
      <c r="DH29" s="41"/>
      <c r="DI29" s="41"/>
      <c r="DJ29" s="41">
        <v>33045</v>
      </c>
      <c r="DK29" s="40"/>
      <c r="DL29" s="34">
        <v>35115529</v>
      </c>
      <c r="DM29" s="19">
        <f t="shared" si="36"/>
        <v>510761957</v>
      </c>
      <c r="DN29" s="19">
        <f>SUM(C29,E29,G29,J29,M29,P29,Y29,AB29,AE29,AH29,AK29,AN29,AQ29,AT29,AW29,AZ29,BC29,BF29,BI29,BL29,BO29,BS29,BV29,BZ29,CC29,CF29)</f>
        <v>81105405</v>
      </c>
      <c r="DO29" s="89">
        <f t="shared" si="20"/>
        <v>626982891</v>
      </c>
      <c r="DP29" s="55"/>
      <c r="DQ29" s="55"/>
      <c r="DR29" s="54"/>
      <c r="DS29" s="54"/>
      <c r="DT29" s="2"/>
      <c r="DU29" s="2"/>
      <c r="DV29" s="2"/>
      <c r="DW29" s="2"/>
      <c r="DX29" s="2"/>
      <c r="DY29" s="2"/>
      <c r="DZ29" s="2"/>
    </row>
    <row r="30" spans="1:130" ht="13.5" customHeight="1">
      <c r="A30" s="16">
        <v>1900</v>
      </c>
      <c r="B30" s="34">
        <v>25578752</v>
      </c>
      <c r="C30" s="34">
        <v>681412</v>
      </c>
      <c r="D30" s="35">
        <f t="shared" si="0"/>
        <v>26260164</v>
      </c>
      <c r="E30" s="36">
        <v>898604</v>
      </c>
      <c r="F30" s="36">
        <v>20504649</v>
      </c>
      <c r="G30" s="36">
        <v>2848094</v>
      </c>
      <c r="H30" s="35">
        <f t="shared" si="1"/>
        <v>23352743</v>
      </c>
      <c r="I30" s="36">
        <v>296900</v>
      </c>
      <c r="J30" s="36">
        <v>183073</v>
      </c>
      <c r="K30" s="35">
        <f t="shared" si="22"/>
        <v>479973</v>
      </c>
      <c r="L30" s="36">
        <v>380</v>
      </c>
      <c r="M30" s="36">
        <v>0</v>
      </c>
      <c r="N30" s="35">
        <f t="shared" si="30"/>
        <v>380</v>
      </c>
      <c r="O30" s="36">
        <v>133652861</v>
      </c>
      <c r="P30" s="36">
        <v>11923152</v>
      </c>
      <c r="Q30" s="35">
        <f t="shared" si="23"/>
        <v>145576013</v>
      </c>
      <c r="R30" s="36"/>
      <c r="S30" s="36"/>
      <c r="T30" s="36"/>
      <c r="U30" s="48"/>
      <c r="V30" s="48"/>
      <c r="W30" s="48"/>
      <c r="X30" s="36">
        <v>181224572</v>
      </c>
      <c r="Y30" s="36">
        <v>6410829</v>
      </c>
      <c r="Z30" s="35">
        <f t="shared" si="3"/>
        <v>187635401</v>
      </c>
      <c r="AA30" s="36">
        <v>60768333</v>
      </c>
      <c r="AB30" s="39">
        <v>8535329</v>
      </c>
      <c r="AC30" s="35">
        <f t="shared" si="4"/>
        <v>69303662</v>
      </c>
      <c r="AD30" s="36">
        <v>7988406</v>
      </c>
      <c r="AE30" s="36">
        <v>744986</v>
      </c>
      <c r="AF30" s="35">
        <f t="shared" si="5"/>
        <v>8733392</v>
      </c>
      <c r="AG30" s="36">
        <v>17036735</v>
      </c>
      <c r="AH30" s="36">
        <v>1241230</v>
      </c>
      <c r="AI30" s="35">
        <f t="shared" si="6"/>
        <v>18277965</v>
      </c>
      <c r="AJ30" s="36">
        <v>1026388</v>
      </c>
      <c r="AK30" s="36">
        <v>8168470</v>
      </c>
      <c r="AL30" s="35">
        <f t="shared" si="7"/>
        <v>9194858</v>
      </c>
      <c r="AM30" s="36">
        <v>3589127</v>
      </c>
      <c r="AN30" s="36">
        <v>682028</v>
      </c>
      <c r="AO30" s="35">
        <f t="shared" si="8"/>
        <v>4271155</v>
      </c>
      <c r="AP30" s="36">
        <v>32188721</v>
      </c>
      <c r="AQ30" s="36">
        <v>4601602</v>
      </c>
      <c r="AR30" s="35">
        <f t="shared" si="9"/>
        <v>36790323</v>
      </c>
      <c r="AS30" s="36">
        <v>24428</v>
      </c>
      <c r="AT30" s="36">
        <v>6677503</v>
      </c>
      <c r="AU30" s="35">
        <f t="shared" si="10"/>
        <v>6701931</v>
      </c>
      <c r="AV30" s="36">
        <v>5635136</v>
      </c>
      <c r="AW30" s="36">
        <v>784047</v>
      </c>
      <c r="AX30" s="35">
        <f t="shared" si="11"/>
        <v>6419183</v>
      </c>
      <c r="AY30" s="36">
        <v>90803</v>
      </c>
      <c r="AZ30" s="36">
        <v>3685733</v>
      </c>
      <c r="BA30" s="35">
        <f t="shared" si="31"/>
        <v>3776536</v>
      </c>
      <c r="BB30" s="36">
        <v>0</v>
      </c>
      <c r="BC30" s="36">
        <v>20648970</v>
      </c>
      <c r="BD30" s="35">
        <f t="shared" si="12"/>
        <v>20648970</v>
      </c>
      <c r="BE30" s="36">
        <v>75363</v>
      </c>
      <c r="BF30" s="36">
        <v>397280</v>
      </c>
      <c r="BG30" s="35">
        <f t="shared" si="13"/>
        <v>472643</v>
      </c>
      <c r="BH30" s="36">
        <v>5074021</v>
      </c>
      <c r="BI30" s="36">
        <v>202909</v>
      </c>
      <c r="BJ30" s="35">
        <f t="shared" si="14"/>
        <v>5276930</v>
      </c>
      <c r="BK30" s="36">
        <v>156306</v>
      </c>
      <c r="BL30" s="36">
        <v>5034</v>
      </c>
      <c r="BM30" s="35">
        <f t="shared" si="32"/>
        <v>161340</v>
      </c>
      <c r="BN30" s="36">
        <v>1711622</v>
      </c>
      <c r="BO30" s="36">
        <v>1707771</v>
      </c>
      <c r="BP30" s="35">
        <f t="shared" si="15"/>
        <v>3419393</v>
      </c>
      <c r="BQ30" s="2"/>
      <c r="BR30" s="36">
        <v>8684922</v>
      </c>
      <c r="BS30" s="36">
        <v>9831994</v>
      </c>
      <c r="BT30" s="35">
        <f t="shared" si="16"/>
        <v>18516916</v>
      </c>
      <c r="BU30" s="36">
        <v>44699334</v>
      </c>
      <c r="BV30" s="36">
        <v>12750508</v>
      </c>
      <c r="BW30" s="35">
        <f t="shared" si="17"/>
        <v>57449842</v>
      </c>
      <c r="BX30" s="36">
        <v>17714</v>
      </c>
      <c r="BY30" s="36">
        <v>12617540</v>
      </c>
      <c r="BZ30" s="36">
        <v>124650</v>
      </c>
      <c r="CA30" s="35">
        <f t="shared" si="18"/>
        <v>12742190</v>
      </c>
      <c r="CB30" s="36">
        <v>26310</v>
      </c>
      <c r="CC30" s="36">
        <v>774339</v>
      </c>
      <c r="CD30" s="35">
        <f t="shared" si="35"/>
        <v>800649</v>
      </c>
      <c r="CE30" s="36">
        <v>5782631</v>
      </c>
      <c r="CF30" s="36">
        <v>2422341</v>
      </c>
      <c r="CG30" s="35">
        <f t="shared" si="24"/>
        <v>8204972</v>
      </c>
      <c r="CH30" s="51">
        <f>CE30-CK30-CN30-CR30-DA30-DB30-DJ30</f>
        <v>1809274</v>
      </c>
      <c r="CI30" s="51">
        <f>CF30-CL30-CO30-CY30</f>
        <v>233426</v>
      </c>
      <c r="CJ30" s="51">
        <f t="shared" si="19"/>
        <v>2042700</v>
      </c>
      <c r="CK30" s="41">
        <v>3728804</v>
      </c>
      <c r="CL30" s="41">
        <v>2085546</v>
      </c>
      <c r="CM30" s="62">
        <f t="shared" si="33"/>
        <v>5814350</v>
      </c>
      <c r="CN30" s="41">
        <v>234880</v>
      </c>
      <c r="CO30" s="41">
        <v>41369</v>
      </c>
      <c r="CP30" s="62">
        <f t="shared" si="34"/>
        <v>276249</v>
      </c>
      <c r="CQ30" s="41"/>
      <c r="CR30" s="41">
        <v>2173</v>
      </c>
      <c r="CS30" s="41"/>
      <c r="CT30" s="41"/>
      <c r="CU30" s="41"/>
      <c r="CV30" s="41"/>
      <c r="CW30" s="41"/>
      <c r="CX30" s="41"/>
      <c r="CY30" s="41">
        <v>62000</v>
      </c>
      <c r="CZ30" s="41"/>
      <c r="DA30" s="41">
        <v>1000</v>
      </c>
      <c r="DB30" s="41">
        <v>2000</v>
      </c>
      <c r="DC30" s="41"/>
      <c r="DD30" s="41"/>
      <c r="DE30" s="41"/>
      <c r="DF30" s="41"/>
      <c r="DG30" s="41"/>
      <c r="DH30" s="41"/>
      <c r="DI30" s="41"/>
      <c r="DJ30" s="41">
        <v>4500</v>
      </c>
      <c r="DK30" s="40"/>
      <c r="DL30" s="36">
        <v>41034103</v>
      </c>
      <c r="DM30" s="19">
        <f t="shared" si="36"/>
        <v>568451954</v>
      </c>
      <c r="DN30" s="19">
        <f>SUM(C30,E30,G30,J30,M30,P30,Y30,AB30,AE30,AH30,AK30,AN30,AQ30,AT30,AW30,AZ30,BC30,BF30,BI30,BL30,BO30,BS30,BV30,BZ30,CC30,CF30)</f>
        <v>106931888</v>
      </c>
      <c r="DO30" s="89">
        <f t="shared" si="20"/>
        <v>716417945</v>
      </c>
      <c r="DP30" s="55"/>
      <c r="DQ30" s="55"/>
      <c r="DR30" s="54"/>
      <c r="DS30" s="54"/>
      <c r="DT30" s="4"/>
      <c r="DU30" s="4"/>
      <c r="DV30" s="4"/>
      <c r="DW30" s="4"/>
      <c r="DX30" s="4"/>
      <c r="DY30" s="4"/>
      <c r="DZ30" s="4"/>
    </row>
    <row r="31" spans="1:130" ht="13.5" customHeight="1">
      <c r="A31" s="16">
        <v>1901</v>
      </c>
      <c r="B31" s="34">
        <v>29162545</v>
      </c>
      <c r="C31" s="34">
        <v>1054214</v>
      </c>
      <c r="D31" s="35">
        <f t="shared" si="0"/>
        <v>30216759</v>
      </c>
      <c r="E31" s="36">
        <v>1196829</v>
      </c>
      <c r="F31" s="36">
        <v>18498521</v>
      </c>
      <c r="G31" s="36">
        <v>2689011</v>
      </c>
      <c r="H31" s="35">
        <f t="shared" si="1"/>
        <v>21187532</v>
      </c>
      <c r="I31" s="36">
        <v>517142</v>
      </c>
      <c r="J31" s="36">
        <v>332689</v>
      </c>
      <c r="K31" s="35">
        <f t="shared" si="22"/>
        <v>849831</v>
      </c>
      <c r="L31" s="34">
        <v>45</v>
      </c>
      <c r="M31" s="34">
        <v>0</v>
      </c>
      <c r="N31" s="35">
        <f t="shared" si="30"/>
        <v>45</v>
      </c>
      <c r="O31" s="36">
        <v>146055407</v>
      </c>
      <c r="P31" s="36">
        <v>10695205</v>
      </c>
      <c r="Q31" s="35">
        <f t="shared" si="23"/>
        <v>156750612</v>
      </c>
      <c r="R31" s="36"/>
      <c r="S31" s="36"/>
      <c r="T31" s="36"/>
      <c r="U31" s="48"/>
      <c r="V31" s="48"/>
      <c r="W31" s="48"/>
      <c r="X31" s="36">
        <v>172311505</v>
      </c>
      <c r="Y31" s="36">
        <v>6544146</v>
      </c>
      <c r="Z31" s="35">
        <f t="shared" si="3"/>
        <v>178855651</v>
      </c>
      <c r="AA31" s="36">
        <v>78302378</v>
      </c>
      <c r="AB31" s="39">
        <v>6386254</v>
      </c>
      <c r="AC31" s="35">
        <f t="shared" si="4"/>
        <v>84688632</v>
      </c>
      <c r="AD31" s="36">
        <v>9222821</v>
      </c>
      <c r="AE31" s="36">
        <v>1108110</v>
      </c>
      <c r="AF31" s="35">
        <f t="shared" si="5"/>
        <v>10330931</v>
      </c>
      <c r="AG31" s="36">
        <v>24258350</v>
      </c>
      <c r="AH31" s="36">
        <v>1634675</v>
      </c>
      <c r="AI31" s="35">
        <f t="shared" si="6"/>
        <v>25893025</v>
      </c>
      <c r="AJ31" s="36">
        <v>403632</v>
      </c>
      <c r="AK31" s="36">
        <v>9412320</v>
      </c>
      <c r="AL31" s="35">
        <f t="shared" si="7"/>
        <v>9815952</v>
      </c>
      <c r="AM31" s="36">
        <v>2206346</v>
      </c>
      <c r="AN31" s="36">
        <v>708229</v>
      </c>
      <c r="AO31" s="35">
        <f t="shared" si="8"/>
        <v>2914575</v>
      </c>
      <c r="AP31" s="36">
        <v>32386409</v>
      </c>
      <c r="AQ31" s="36">
        <v>5364322</v>
      </c>
      <c r="AR31" s="35">
        <f t="shared" si="9"/>
        <v>37750731</v>
      </c>
      <c r="AS31" s="36">
        <v>6765</v>
      </c>
      <c r="AT31" s="36">
        <v>9704189</v>
      </c>
      <c r="AU31" s="35">
        <f t="shared" si="10"/>
        <v>9710954</v>
      </c>
      <c r="AV31" s="36">
        <v>4485371</v>
      </c>
      <c r="AW31" s="36">
        <v>481791</v>
      </c>
      <c r="AX31" s="35">
        <f t="shared" si="11"/>
        <v>4967162</v>
      </c>
      <c r="AY31" s="36">
        <v>71</v>
      </c>
      <c r="AZ31" s="36">
        <v>9071480</v>
      </c>
      <c r="BA31" s="35">
        <f t="shared" si="31"/>
        <v>9071551</v>
      </c>
      <c r="BB31" s="36">
        <v>307347</v>
      </c>
      <c r="BC31" s="36">
        <v>23179099</v>
      </c>
      <c r="BD31" s="35">
        <f t="shared" si="12"/>
        <v>23486446</v>
      </c>
      <c r="BE31" s="36">
        <v>199787</v>
      </c>
      <c r="BF31" s="36">
        <v>0</v>
      </c>
      <c r="BG31" s="35">
        <f t="shared" si="13"/>
        <v>199787</v>
      </c>
      <c r="BH31" s="36">
        <v>10217796</v>
      </c>
      <c r="BI31" s="36">
        <v>157127</v>
      </c>
      <c r="BJ31" s="35">
        <f t="shared" si="14"/>
        <v>10374923</v>
      </c>
      <c r="BK31" s="36">
        <v>200143</v>
      </c>
      <c r="BL31" s="36">
        <v>27379</v>
      </c>
      <c r="BM31" s="35">
        <f t="shared" si="32"/>
        <v>227522</v>
      </c>
      <c r="BN31" s="36">
        <v>1742242</v>
      </c>
      <c r="BO31" s="36">
        <v>2267179</v>
      </c>
      <c r="BP31" s="35">
        <f t="shared" si="15"/>
        <v>4009421</v>
      </c>
      <c r="BQ31" s="2"/>
      <c r="BR31" s="36">
        <v>11044491</v>
      </c>
      <c r="BS31" s="36">
        <v>10886601</v>
      </c>
      <c r="BT31" s="35">
        <f t="shared" si="16"/>
        <v>21931092</v>
      </c>
      <c r="BU31" s="36">
        <v>51629647</v>
      </c>
      <c r="BV31" s="36">
        <v>9592626</v>
      </c>
      <c r="BW31" s="35">
        <f t="shared" si="17"/>
        <v>61222273</v>
      </c>
      <c r="BX31" s="34">
        <v>258081</v>
      </c>
      <c r="BY31" s="36">
        <v>8742887</v>
      </c>
      <c r="BZ31" s="36">
        <v>66412</v>
      </c>
      <c r="CA31" s="35">
        <f t="shared" si="18"/>
        <v>8809299</v>
      </c>
      <c r="CB31" s="36">
        <v>29012</v>
      </c>
      <c r="CC31" s="36">
        <v>790250</v>
      </c>
      <c r="CD31" s="35">
        <f t="shared" si="35"/>
        <v>819262</v>
      </c>
      <c r="CE31" s="36">
        <v>5477810</v>
      </c>
      <c r="CF31" s="36">
        <v>1866879</v>
      </c>
      <c r="CG31" s="35">
        <f t="shared" si="24"/>
        <v>7344689</v>
      </c>
      <c r="CH31" s="51">
        <f>CE31-CK31-CN31-CR31-DB31-DJ31</f>
        <v>856297</v>
      </c>
      <c r="CI31" s="51">
        <f>CF31-CL31-CO31-CW31</f>
        <v>0</v>
      </c>
      <c r="CJ31" s="51">
        <f t="shared" si="19"/>
        <v>856297</v>
      </c>
      <c r="CK31" s="41">
        <v>4041383</v>
      </c>
      <c r="CL31" s="41">
        <v>1773789</v>
      </c>
      <c r="CM31" s="62">
        <f t="shared" si="33"/>
        <v>5815172</v>
      </c>
      <c r="CN31" s="41">
        <v>407255</v>
      </c>
      <c r="CO31" s="41">
        <v>22995</v>
      </c>
      <c r="CP31" s="62">
        <f t="shared" si="34"/>
        <v>430250</v>
      </c>
      <c r="CQ31" s="41"/>
      <c r="CR31" s="41">
        <v>455</v>
      </c>
      <c r="CS31" s="41"/>
      <c r="CT31" s="41"/>
      <c r="CU31" s="67">
        <v>0</v>
      </c>
      <c r="CV31" s="41"/>
      <c r="CW31" s="41">
        <v>70095</v>
      </c>
      <c r="CX31" s="41"/>
      <c r="CY31" s="41"/>
      <c r="CZ31" s="41"/>
      <c r="DA31" s="41"/>
      <c r="DB31" s="41">
        <v>135860</v>
      </c>
      <c r="DC31" s="41"/>
      <c r="DD31" s="41"/>
      <c r="DE31" s="41"/>
      <c r="DF31" s="41"/>
      <c r="DG31" s="41"/>
      <c r="DH31" s="41"/>
      <c r="DI31" s="41"/>
      <c r="DJ31" s="41">
        <v>36560</v>
      </c>
      <c r="DK31" s="40"/>
      <c r="DL31" s="34">
        <v>38698934</v>
      </c>
      <c r="DM31" s="19">
        <f t="shared" si="36"/>
        <v>607666551</v>
      </c>
      <c r="DN31" s="19">
        <f>SUM(C31,E31,G31,J31,M31,P31,Y31,AB31,AE31,AH31,AK31,AN31,AQ31,AT31,AW31,AZ31,BC31,BF31,BI31,BL31,BO31,BS31,BV31,BZ31,CC31,CF31)</f>
        <v>115217016</v>
      </c>
      <c r="DO31" s="89">
        <f t="shared" si="20"/>
        <v>761582501</v>
      </c>
      <c r="DP31" s="55"/>
      <c r="DQ31" s="55"/>
      <c r="DR31" s="54"/>
      <c r="DS31" s="54"/>
      <c r="DT31" s="2"/>
      <c r="DU31" s="2"/>
      <c r="DV31" s="2"/>
      <c r="DW31" s="2"/>
      <c r="DX31" s="2"/>
      <c r="DY31" s="2"/>
      <c r="DZ31" s="2"/>
    </row>
    <row r="32" spans="1:130" ht="13.5" customHeight="1">
      <c r="A32" s="16">
        <v>1902</v>
      </c>
      <c r="B32" s="34">
        <v>35032794</v>
      </c>
      <c r="C32" s="34">
        <v>581883</v>
      </c>
      <c r="D32" s="35">
        <f t="shared" si="0"/>
        <v>35614677</v>
      </c>
      <c r="E32" s="36">
        <v>1902564</v>
      </c>
      <c r="F32" s="36">
        <v>23787387</v>
      </c>
      <c r="G32" s="36">
        <v>4736760</v>
      </c>
      <c r="H32" s="35">
        <f t="shared" si="1"/>
        <v>28524147</v>
      </c>
      <c r="I32" s="36">
        <v>272425</v>
      </c>
      <c r="J32" s="36">
        <v>353977</v>
      </c>
      <c r="K32" s="35">
        <f t="shared" si="22"/>
        <v>626402</v>
      </c>
      <c r="L32" s="34">
        <v>0</v>
      </c>
      <c r="M32" s="34">
        <v>0</v>
      </c>
      <c r="N32" s="35">
        <f t="shared" si="30"/>
        <v>0</v>
      </c>
      <c r="O32" s="36">
        <v>172771313</v>
      </c>
      <c r="P32" s="36">
        <v>16329630</v>
      </c>
      <c r="Q32" s="35">
        <f t="shared" si="23"/>
        <v>189100943</v>
      </c>
      <c r="R32" s="36"/>
      <c r="S32" s="36"/>
      <c r="T32" s="36"/>
      <c r="U32" s="48"/>
      <c r="V32" s="48"/>
      <c r="W32" s="48"/>
      <c r="X32" s="36">
        <v>193971837</v>
      </c>
      <c r="Y32" s="36">
        <v>9183002</v>
      </c>
      <c r="Z32" s="35">
        <f t="shared" si="3"/>
        <v>203154839</v>
      </c>
      <c r="AA32" s="36">
        <v>95837332</v>
      </c>
      <c r="AB32" s="36">
        <v>7261212</v>
      </c>
      <c r="AC32" s="35">
        <f t="shared" si="4"/>
        <v>103098544</v>
      </c>
      <c r="AD32" s="36">
        <v>8147698</v>
      </c>
      <c r="AE32" s="36">
        <v>965446</v>
      </c>
      <c r="AF32" s="35">
        <f t="shared" si="5"/>
        <v>9113144</v>
      </c>
      <c r="AG32" s="36">
        <v>25002324</v>
      </c>
      <c r="AH32" s="36">
        <v>2846924</v>
      </c>
      <c r="AI32" s="35">
        <f t="shared" si="6"/>
        <v>27849248</v>
      </c>
      <c r="AJ32" s="36">
        <v>44472</v>
      </c>
      <c r="AK32" s="36">
        <v>6745084</v>
      </c>
      <c r="AL32" s="35">
        <f t="shared" si="7"/>
        <v>6789556</v>
      </c>
      <c r="AM32" s="36">
        <v>3145900</v>
      </c>
      <c r="AN32" s="36">
        <v>490439</v>
      </c>
      <c r="AO32" s="35">
        <f t="shared" si="8"/>
        <v>3636339</v>
      </c>
      <c r="AP32" s="36">
        <v>44269946</v>
      </c>
      <c r="AQ32" s="36">
        <v>4629411</v>
      </c>
      <c r="AR32" s="35">
        <f t="shared" si="9"/>
        <v>48899357</v>
      </c>
      <c r="AS32" s="36">
        <v>147975</v>
      </c>
      <c r="AT32" s="36">
        <v>9166526</v>
      </c>
      <c r="AU32" s="35">
        <f t="shared" si="10"/>
        <v>9314501</v>
      </c>
      <c r="AV32" s="36">
        <v>5559304</v>
      </c>
      <c r="AW32" s="36">
        <v>643763</v>
      </c>
      <c r="AX32" s="35">
        <f t="shared" si="11"/>
        <v>6203067</v>
      </c>
      <c r="AY32" s="36">
        <v>38463</v>
      </c>
      <c r="AZ32" s="36">
        <v>5583741</v>
      </c>
      <c r="BA32" s="35">
        <f t="shared" si="31"/>
        <v>5622204</v>
      </c>
      <c r="BB32" s="36">
        <v>455844</v>
      </c>
      <c r="BC32" s="36">
        <v>23589345</v>
      </c>
      <c r="BD32" s="35">
        <f t="shared" si="12"/>
        <v>24045189</v>
      </c>
      <c r="BE32" s="36">
        <v>86620</v>
      </c>
      <c r="BF32" s="36">
        <v>76062</v>
      </c>
      <c r="BG32" s="35">
        <f t="shared" si="13"/>
        <v>162682</v>
      </c>
      <c r="BH32" s="36">
        <v>15816216</v>
      </c>
      <c r="BI32" s="36">
        <v>36037</v>
      </c>
      <c r="BJ32" s="35">
        <f t="shared" si="14"/>
        <v>15852253</v>
      </c>
      <c r="BK32" s="36">
        <v>215813</v>
      </c>
      <c r="BL32" s="36">
        <v>3290</v>
      </c>
      <c r="BM32" s="35">
        <f t="shared" si="32"/>
        <v>219103</v>
      </c>
      <c r="BN32" s="36">
        <v>2865858</v>
      </c>
      <c r="BO32" s="36">
        <v>1507813</v>
      </c>
      <c r="BP32" s="35">
        <f t="shared" si="15"/>
        <v>4373671</v>
      </c>
      <c r="BQ32" s="2"/>
      <c r="BR32" s="36">
        <v>8825936</v>
      </c>
      <c r="BS32" s="36">
        <v>7021764</v>
      </c>
      <c r="BT32" s="35">
        <f t="shared" si="16"/>
        <v>15847700</v>
      </c>
      <c r="BU32" s="36">
        <v>46466329</v>
      </c>
      <c r="BV32" s="36">
        <v>8677149</v>
      </c>
      <c r="BW32" s="35">
        <f t="shared" si="17"/>
        <v>55143478</v>
      </c>
      <c r="BX32" s="34">
        <f>311963+330</f>
        <v>312293</v>
      </c>
      <c r="BY32" s="36">
        <v>10704299</v>
      </c>
      <c r="BZ32" s="36">
        <v>55840</v>
      </c>
      <c r="CA32" s="35">
        <f t="shared" si="18"/>
        <v>10760139</v>
      </c>
      <c r="CB32" s="36">
        <v>6718</v>
      </c>
      <c r="CC32" s="36">
        <v>1338092</v>
      </c>
      <c r="CD32" s="35">
        <f t="shared" si="35"/>
        <v>1344810</v>
      </c>
      <c r="CE32" s="36">
        <v>14613461</v>
      </c>
      <c r="CF32" s="36">
        <v>167658</v>
      </c>
      <c r="CG32" s="35">
        <f t="shared" si="24"/>
        <v>14781119</v>
      </c>
      <c r="CH32" s="51">
        <f>CE32-CK32-CN32-CR32-CZ32</f>
        <v>916902</v>
      </c>
      <c r="CI32" s="51">
        <f>CF32-CL32-CQ32-CU32-CY32</f>
        <v>0</v>
      </c>
      <c r="CJ32" s="51">
        <f t="shared" si="19"/>
        <v>916902</v>
      </c>
      <c r="CK32" s="41">
        <v>12816365</v>
      </c>
      <c r="CL32" s="41">
        <v>87458</v>
      </c>
      <c r="CM32" s="62">
        <f t="shared" si="33"/>
        <v>12903823</v>
      </c>
      <c r="CN32" s="41">
        <v>870980</v>
      </c>
      <c r="CO32" s="67">
        <v>0</v>
      </c>
      <c r="CP32" s="62">
        <f t="shared" si="34"/>
        <v>870980</v>
      </c>
      <c r="CQ32" s="41">
        <v>3500</v>
      </c>
      <c r="CR32" s="41">
        <v>214</v>
      </c>
      <c r="CS32" s="41"/>
      <c r="CT32" s="41"/>
      <c r="CU32" s="41">
        <v>8190</v>
      </c>
      <c r="CV32" s="41"/>
      <c r="CW32" s="41"/>
      <c r="CX32" s="41"/>
      <c r="CY32" s="41">
        <v>68510</v>
      </c>
      <c r="CZ32" s="41">
        <v>9000</v>
      </c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0"/>
      <c r="DL32" s="34">
        <v>38029963</v>
      </c>
      <c r="DM32" s="19">
        <f>SUM(B32,F32,I32,L32,O32,X32,AA32,AD32,AG32,AJ32,AM32,AP32,AS32,AV32,AY32,BB32,BE32,BH32,BK32,BN32,BR32,BU32,BX32,BY32,CB32,CE32)-330</f>
        <v>708398227</v>
      </c>
      <c r="DN32" s="19">
        <f>SUM(C32,E32,G32,J32,M32,P32,Y32,AB32,AE32,AH32,AK32,AN32,AQ32,AT32,AW32,AZ32,BC32,BF32,BI32,BL32,BO32,BS32,BV32,BZ32,CC32,CF32)+330</f>
        <v>113893742</v>
      </c>
      <c r="DO32" s="89">
        <f t="shared" si="20"/>
        <v>860321932</v>
      </c>
      <c r="DP32" s="55"/>
      <c r="DQ32" s="55"/>
      <c r="DR32" s="54"/>
      <c r="DS32" s="54"/>
      <c r="DT32" s="2"/>
      <c r="DU32" s="2"/>
      <c r="DV32" s="2"/>
      <c r="DW32" s="2"/>
      <c r="DX32" s="2"/>
      <c r="DY32" s="2"/>
      <c r="DZ32" s="2"/>
    </row>
    <row r="33" spans="1:130" ht="13.5" customHeight="1">
      <c r="A33" s="16">
        <v>1903</v>
      </c>
      <c r="B33" s="34">
        <v>35878339</v>
      </c>
      <c r="C33" s="34">
        <v>1018813</v>
      </c>
      <c r="D33" s="35">
        <f t="shared" si="0"/>
        <v>36897152</v>
      </c>
      <c r="E33" s="36">
        <v>2031024</v>
      </c>
      <c r="F33" s="36">
        <v>38147331</v>
      </c>
      <c r="G33" s="36">
        <v>5290131</v>
      </c>
      <c r="H33" s="35">
        <f t="shared" si="1"/>
        <v>43437462</v>
      </c>
      <c r="I33" s="36">
        <v>432101</v>
      </c>
      <c r="J33" s="36">
        <v>383076</v>
      </c>
      <c r="K33" s="35">
        <f t="shared" si="22"/>
        <v>815177</v>
      </c>
      <c r="L33" s="34">
        <v>0</v>
      </c>
      <c r="M33" s="34">
        <v>0</v>
      </c>
      <c r="N33" s="35">
        <f t="shared" si="30"/>
        <v>0</v>
      </c>
      <c r="O33" s="36">
        <v>199359777</v>
      </c>
      <c r="P33" s="36">
        <v>18836414</v>
      </c>
      <c r="Q33" s="35">
        <f t="shared" si="23"/>
        <v>218196191</v>
      </c>
      <c r="R33" s="36"/>
      <c r="S33" s="36"/>
      <c r="T33" s="36"/>
      <c r="U33" s="48"/>
      <c r="V33" s="48"/>
      <c r="W33" s="48"/>
      <c r="X33" s="36">
        <v>225218995</v>
      </c>
      <c r="Y33" s="36">
        <v>7871224</v>
      </c>
      <c r="Z33" s="35">
        <f t="shared" si="3"/>
        <v>233090219</v>
      </c>
      <c r="AA33" s="36">
        <v>94459236</v>
      </c>
      <c r="AB33" s="39">
        <v>6670401</v>
      </c>
      <c r="AC33" s="35">
        <f t="shared" si="4"/>
        <v>101129637</v>
      </c>
      <c r="AD33" s="36">
        <v>7923167</v>
      </c>
      <c r="AE33" s="36">
        <v>659045</v>
      </c>
      <c r="AF33" s="35">
        <f t="shared" si="5"/>
        <v>8582212</v>
      </c>
      <c r="AG33" s="36">
        <v>23645096</v>
      </c>
      <c r="AH33" s="36">
        <v>3745501</v>
      </c>
      <c r="AI33" s="35">
        <f t="shared" si="6"/>
        <v>27390597</v>
      </c>
      <c r="AJ33" s="36">
        <v>87092</v>
      </c>
      <c r="AK33" s="36">
        <v>5033899</v>
      </c>
      <c r="AL33" s="35">
        <f t="shared" si="7"/>
        <v>5120991</v>
      </c>
      <c r="AM33" s="36">
        <v>3626678</v>
      </c>
      <c r="AN33" s="36">
        <v>569728</v>
      </c>
      <c r="AO33" s="35">
        <f t="shared" si="8"/>
        <v>4196406</v>
      </c>
      <c r="AP33" s="36">
        <v>49800716</v>
      </c>
      <c r="AQ33" s="36">
        <v>6914453</v>
      </c>
      <c r="AR33" s="35">
        <f t="shared" si="9"/>
        <v>56715169</v>
      </c>
      <c r="AS33" s="36">
        <v>483908</v>
      </c>
      <c r="AT33" s="36">
        <v>21956741</v>
      </c>
      <c r="AU33" s="35">
        <f t="shared" si="10"/>
        <v>22440649</v>
      </c>
      <c r="AV33" s="36">
        <v>10044222</v>
      </c>
      <c r="AW33" s="36">
        <v>941590</v>
      </c>
      <c r="AX33" s="35">
        <f t="shared" si="11"/>
        <v>10985812</v>
      </c>
      <c r="AY33" s="36">
        <v>101143</v>
      </c>
      <c r="AZ33" s="36">
        <v>7702215</v>
      </c>
      <c r="BA33" s="35">
        <f t="shared" si="31"/>
        <v>7803358</v>
      </c>
      <c r="BB33" s="36">
        <v>215697</v>
      </c>
      <c r="BC33" s="36">
        <v>27170608</v>
      </c>
      <c r="BD33" s="35">
        <f t="shared" si="12"/>
        <v>27386305</v>
      </c>
      <c r="BE33" s="36">
        <v>161204</v>
      </c>
      <c r="BF33" s="36">
        <v>0</v>
      </c>
      <c r="BG33" s="35">
        <f t="shared" si="13"/>
        <v>161204</v>
      </c>
      <c r="BH33" s="36">
        <v>15732393</v>
      </c>
      <c r="BI33" s="36">
        <v>26087</v>
      </c>
      <c r="BJ33" s="35">
        <f t="shared" si="14"/>
        <v>15758480</v>
      </c>
      <c r="BK33" s="36">
        <v>303104</v>
      </c>
      <c r="BL33" s="36">
        <v>688</v>
      </c>
      <c r="BM33" s="35">
        <f t="shared" si="32"/>
        <v>303792</v>
      </c>
      <c r="BN33" s="36">
        <v>3119403</v>
      </c>
      <c r="BO33" s="36">
        <v>2235955</v>
      </c>
      <c r="BP33" s="35">
        <f t="shared" si="15"/>
        <v>5355358</v>
      </c>
      <c r="BQ33" s="2"/>
      <c r="BR33" s="36">
        <v>12212769</v>
      </c>
      <c r="BS33" s="36">
        <v>6621625</v>
      </c>
      <c r="BT33" s="35">
        <f t="shared" si="16"/>
        <v>18834394</v>
      </c>
      <c r="BU33" s="36">
        <v>63597843</v>
      </c>
      <c r="BV33" s="36">
        <v>12500161</v>
      </c>
      <c r="BW33" s="35">
        <f t="shared" si="17"/>
        <v>76098004</v>
      </c>
      <c r="BX33" s="34">
        <v>80389</v>
      </c>
      <c r="BY33" s="36">
        <v>10329792</v>
      </c>
      <c r="BZ33" s="36">
        <v>0</v>
      </c>
      <c r="CA33" s="35">
        <f t="shared" si="18"/>
        <v>10329792</v>
      </c>
      <c r="CB33" s="36">
        <v>7524</v>
      </c>
      <c r="CC33" s="36">
        <v>781289</v>
      </c>
      <c r="CD33" s="35">
        <f t="shared" si="35"/>
        <v>788813</v>
      </c>
      <c r="CE33" s="36">
        <v>20355951</v>
      </c>
      <c r="CF33" s="36">
        <v>241882</v>
      </c>
      <c r="CG33" s="35">
        <f t="shared" si="24"/>
        <v>20597833</v>
      </c>
      <c r="CH33" s="51">
        <f>CE33-CK33-CN33-CR33-CY33-CZ33-DA33-DB33-DD33-DJ33</f>
        <v>429731</v>
      </c>
      <c r="CI33" s="51">
        <f>CF33-CO33-CT33-CU33-DH33</f>
        <v>170800</v>
      </c>
      <c r="CJ33" s="51">
        <f t="shared" si="19"/>
        <v>600531</v>
      </c>
      <c r="CK33" s="41">
        <v>19118692</v>
      </c>
      <c r="CL33" s="67">
        <v>0</v>
      </c>
      <c r="CM33" s="62">
        <f t="shared" si="33"/>
        <v>19118692</v>
      </c>
      <c r="CN33" s="41">
        <v>512121</v>
      </c>
      <c r="CO33" s="41">
        <v>100</v>
      </c>
      <c r="CP33" s="62">
        <f t="shared" si="34"/>
        <v>512221</v>
      </c>
      <c r="CQ33" s="41"/>
      <c r="CR33" s="41">
        <v>763</v>
      </c>
      <c r="CS33" s="41"/>
      <c r="CT33" s="41">
        <v>250</v>
      </c>
      <c r="CU33" s="41">
        <v>68080</v>
      </c>
      <c r="CV33" s="41"/>
      <c r="CW33" s="41"/>
      <c r="CX33" s="41"/>
      <c r="CY33" s="41">
        <v>71810</v>
      </c>
      <c r="CZ33" s="41">
        <v>88991</v>
      </c>
      <c r="DA33" s="41">
        <v>37611</v>
      </c>
      <c r="DB33" s="41">
        <v>22036</v>
      </c>
      <c r="DC33" s="41"/>
      <c r="DD33" s="41">
        <v>90</v>
      </c>
      <c r="DE33" s="41"/>
      <c r="DF33" s="41"/>
      <c r="DG33" s="41"/>
      <c r="DH33" s="41">
        <v>2652</v>
      </c>
      <c r="DI33" s="41"/>
      <c r="DJ33" s="41">
        <v>74106</v>
      </c>
      <c r="DK33" s="40"/>
      <c r="DL33" s="34">
        <v>46652774</v>
      </c>
      <c r="DM33" s="19">
        <f>SUM(B33,F33,I33,L33,O33,X33,AA33,AD33,AG33,AJ33,AM33,AP33,AS33,AV33,AY33,BB33,BE33,BH33,BK33,BN33,BR33,BU33,BX33,BY33,CB33,CE33)</f>
        <v>815323870</v>
      </c>
      <c r="DN33" s="19">
        <f>SUM(C33,E33,G33,J33,M33,P33,Y33,AB33,AE33,AH33,AK33,AN33,AQ33,AT33,AW33,AZ33,BC33,BF33,BI33,BL33,BO33,BS33,BV33,BZ33,CC33,CF33)</f>
        <v>139202550</v>
      </c>
      <c r="DO33" s="89">
        <f t="shared" si="20"/>
        <v>1001179194</v>
      </c>
      <c r="DP33" s="55"/>
      <c r="DQ33" s="55"/>
      <c r="DR33" s="54"/>
      <c r="DS33" s="54"/>
      <c r="DT33" s="2"/>
      <c r="DU33" s="2"/>
      <c r="DV33" s="2"/>
      <c r="DW33" s="2"/>
      <c r="DX33" s="2"/>
      <c r="DY33" s="2"/>
      <c r="DZ33" s="2"/>
    </row>
    <row r="34" spans="1:130" s="28" customFormat="1" ht="13.5" customHeight="1">
      <c r="A34" s="16">
        <v>1904</v>
      </c>
      <c r="B34" s="34">
        <v>39722600</v>
      </c>
      <c r="C34" s="34">
        <v>875963</v>
      </c>
      <c r="D34" s="35">
        <f t="shared" si="0"/>
        <v>40598563</v>
      </c>
      <c r="E34" s="36">
        <v>2548306</v>
      </c>
      <c r="F34" s="36">
        <v>37310575</v>
      </c>
      <c r="G34" s="36">
        <v>6681322</v>
      </c>
      <c r="H34" s="35">
        <f t="shared" si="1"/>
        <v>43991897</v>
      </c>
      <c r="I34" s="36">
        <v>188405</v>
      </c>
      <c r="J34" s="36">
        <v>535163</v>
      </c>
      <c r="K34" s="35">
        <f t="shared" si="22"/>
        <v>723568</v>
      </c>
      <c r="L34" s="36">
        <v>10</v>
      </c>
      <c r="M34" s="36">
        <v>0</v>
      </c>
      <c r="N34" s="35">
        <f t="shared" si="30"/>
        <v>10</v>
      </c>
      <c r="O34" s="36">
        <v>207302333</v>
      </c>
      <c r="P34" s="36">
        <v>23121524</v>
      </c>
      <c r="Q34" s="35">
        <f t="shared" si="23"/>
        <v>230423857</v>
      </c>
      <c r="R34" s="36"/>
      <c r="S34" s="36"/>
      <c r="T34" s="36"/>
      <c r="U34" s="49"/>
      <c r="V34" s="49"/>
      <c r="W34" s="49"/>
      <c r="X34" s="36">
        <v>224057631</v>
      </c>
      <c r="Y34" s="36">
        <v>10785996</v>
      </c>
      <c r="Z34" s="35">
        <f t="shared" si="3"/>
        <v>234843627</v>
      </c>
      <c r="AA34" s="36">
        <v>90691715</v>
      </c>
      <c r="AB34" s="39">
        <v>8565595</v>
      </c>
      <c r="AC34" s="35">
        <f t="shared" si="4"/>
        <v>99257310</v>
      </c>
      <c r="AD34" s="36">
        <v>6905471</v>
      </c>
      <c r="AE34" s="36">
        <v>565715</v>
      </c>
      <c r="AF34" s="35">
        <f t="shared" si="5"/>
        <v>7471186</v>
      </c>
      <c r="AG34" s="36">
        <v>25281351</v>
      </c>
      <c r="AH34" s="36">
        <v>5097546</v>
      </c>
      <c r="AI34" s="35">
        <f t="shared" si="6"/>
        <v>30378897</v>
      </c>
      <c r="AJ34" s="36">
        <v>30993</v>
      </c>
      <c r="AK34" s="36">
        <v>4865194</v>
      </c>
      <c r="AL34" s="35">
        <f t="shared" si="7"/>
        <v>4896187</v>
      </c>
      <c r="AM34" s="36">
        <v>7863345</v>
      </c>
      <c r="AN34" s="36">
        <v>623057</v>
      </c>
      <c r="AO34" s="35">
        <f t="shared" si="8"/>
        <v>8486402</v>
      </c>
      <c r="AP34" s="36">
        <v>46201476</v>
      </c>
      <c r="AQ34" s="36">
        <v>6775372</v>
      </c>
      <c r="AR34" s="35">
        <f t="shared" si="9"/>
        <v>52976848</v>
      </c>
      <c r="AS34" s="36">
        <v>525</v>
      </c>
      <c r="AT34" s="36">
        <v>22971163</v>
      </c>
      <c r="AU34" s="35">
        <f t="shared" si="10"/>
        <v>22971688</v>
      </c>
      <c r="AV34" s="36">
        <v>7731475</v>
      </c>
      <c r="AW34" s="36">
        <v>599640</v>
      </c>
      <c r="AX34" s="35">
        <f t="shared" si="11"/>
        <v>8331115</v>
      </c>
      <c r="AY34" s="36">
        <v>5774</v>
      </c>
      <c r="AZ34" s="36">
        <v>5921497</v>
      </c>
      <c r="BA34" s="35">
        <f t="shared" si="31"/>
        <v>5927271</v>
      </c>
      <c r="BB34" s="36">
        <v>397622</v>
      </c>
      <c r="BC34" s="36">
        <v>26888370</v>
      </c>
      <c r="BD34" s="35">
        <f t="shared" si="12"/>
        <v>27285992</v>
      </c>
      <c r="BE34" s="36">
        <v>2412891</v>
      </c>
      <c r="BF34" s="36">
        <v>42000</v>
      </c>
      <c r="BG34" s="35">
        <f t="shared" si="13"/>
        <v>2454891</v>
      </c>
      <c r="BH34" s="36">
        <v>9418473</v>
      </c>
      <c r="BI34" s="36">
        <v>198918</v>
      </c>
      <c r="BJ34" s="35">
        <f t="shared" si="14"/>
        <v>9617391</v>
      </c>
      <c r="BK34" s="36">
        <v>201492</v>
      </c>
      <c r="BL34" s="36">
        <v>1872</v>
      </c>
      <c r="BM34" s="35">
        <f t="shared" si="32"/>
        <v>203364</v>
      </c>
      <c r="BN34" s="36">
        <v>2173958</v>
      </c>
      <c r="BO34" s="36">
        <v>2188285</v>
      </c>
      <c r="BP34" s="35">
        <f t="shared" si="15"/>
        <v>4362243</v>
      </c>
      <c r="BQ34" s="2"/>
      <c r="BR34" s="36">
        <v>15275662</v>
      </c>
      <c r="BS34" s="36">
        <v>10024344</v>
      </c>
      <c r="BT34" s="35">
        <f t="shared" si="16"/>
        <v>25300006</v>
      </c>
      <c r="BU34" s="36">
        <v>48774563</v>
      </c>
      <c r="BV34" s="36">
        <v>13007512</v>
      </c>
      <c r="BW34" s="35">
        <f t="shared" si="17"/>
        <v>61782075</v>
      </c>
      <c r="BX34" s="34">
        <f>228739+1244</f>
        <v>229983</v>
      </c>
      <c r="BY34" s="36">
        <v>11144316</v>
      </c>
      <c r="BZ34" s="36">
        <v>77820</v>
      </c>
      <c r="CA34" s="35">
        <f t="shared" si="18"/>
        <v>11222136</v>
      </c>
      <c r="CB34" s="36">
        <v>127</v>
      </c>
      <c r="CC34" s="36">
        <v>11646</v>
      </c>
      <c r="CD34" s="35">
        <f t="shared" si="35"/>
        <v>11773</v>
      </c>
      <c r="CE34" s="36">
        <v>23259205</v>
      </c>
      <c r="CF34" s="36">
        <v>504862</v>
      </c>
      <c r="CG34" s="35">
        <f t="shared" si="24"/>
        <v>23764067</v>
      </c>
      <c r="CH34" s="51">
        <f>CE34-CK34-CN34-CR34-CY34-DF34-20-DJ34</f>
        <v>1020911</v>
      </c>
      <c r="CI34" s="51">
        <f>CF34-CL34-10549</f>
        <v>277642</v>
      </c>
      <c r="CJ34" s="51">
        <f aca="true" t="shared" si="37" ref="CJ34:CJ46">CH34+CI34</f>
        <v>1298553</v>
      </c>
      <c r="CK34" s="41">
        <v>21167934</v>
      </c>
      <c r="CL34" s="41">
        <v>216671</v>
      </c>
      <c r="CM34" s="62">
        <f t="shared" si="33"/>
        <v>21384605</v>
      </c>
      <c r="CN34" s="41">
        <v>992997</v>
      </c>
      <c r="CO34" s="67">
        <v>0</v>
      </c>
      <c r="CP34" s="62">
        <f t="shared" si="34"/>
        <v>992997</v>
      </c>
      <c r="CQ34" s="41"/>
      <c r="CR34" s="41">
        <v>754</v>
      </c>
      <c r="CS34" s="41"/>
      <c r="CT34" s="41"/>
      <c r="CU34" s="41">
        <f>20+10549</f>
        <v>10569</v>
      </c>
      <c r="CV34" s="41"/>
      <c r="CW34" s="41"/>
      <c r="CX34" s="41"/>
      <c r="CY34" s="41">
        <v>1193</v>
      </c>
      <c r="CZ34" s="41"/>
      <c r="DA34" s="41"/>
      <c r="DB34" s="41"/>
      <c r="DC34" s="41"/>
      <c r="DD34" s="41"/>
      <c r="DE34" s="41"/>
      <c r="DF34" s="41">
        <v>6</v>
      </c>
      <c r="DG34" s="41"/>
      <c r="DH34" s="41"/>
      <c r="DI34" s="41"/>
      <c r="DJ34" s="41">
        <v>75390</v>
      </c>
      <c r="DK34" s="40"/>
      <c r="DL34" s="36">
        <v>46323259</v>
      </c>
      <c r="DM34" s="19">
        <f>SUM(B34,F34,I34,L34,O34,X34,AA34,AD34,AG34,AJ34,AM34,AP34,AS34,AV34,AY34,BB34,BE34,BH34,BK34,BN34,BR34,BU34,BX34,BY34,CB34,CE34)-1244</f>
        <v>806580727</v>
      </c>
      <c r="DN34" s="19">
        <f>SUM(C34,E34,G34,J34,M34,P34,Y34,AB34,AE34,AH34,AK34,AN34,AQ34,AT34,AW34,AZ34,BC34,BF34,BI34,BL34,BO34,BS34,BV34,BZ34,CC34,CF34)+1244</f>
        <v>153479926</v>
      </c>
      <c r="DO34" s="89">
        <f t="shared" si="20"/>
        <v>1006383912</v>
      </c>
      <c r="DP34" s="55"/>
      <c r="DQ34" s="55"/>
      <c r="DR34" s="54"/>
      <c r="DS34" s="54"/>
      <c r="DT34" s="4"/>
      <c r="DU34" s="4"/>
      <c r="DV34" s="4"/>
      <c r="DW34" s="4"/>
      <c r="DX34" s="4"/>
      <c r="DY34" s="4"/>
      <c r="DZ34" s="4"/>
    </row>
    <row r="35" spans="1:130" ht="13.5" customHeight="1">
      <c r="A35" s="16">
        <v>1905</v>
      </c>
      <c r="B35" s="34">
        <v>45203140</v>
      </c>
      <c r="C35" s="34">
        <v>457080</v>
      </c>
      <c r="D35" s="35">
        <f t="shared" si="0"/>
        <v>45660220</v>
      </c>
      <c r="E35" s="36">
        <v>2327876</v>
      </c>
      <c r="F35" s="36">
        <v>39172592</v>
      </c>
      <c r="G35" s="36">
        <v>5436524</v>
      </c>
      <c r="H35" s="35">
        <f t="shared" si="1"/>
        <v>44609116</v>
      </c>
      <c r="I35" s="36">
        <v>700502</v>
      </c>
      <c r="J35" s="36">
        <v>1673</v>
      </c>
      <c r="K35" s="35">
        <f t="shared" si="22"/>
        <v>702175</v>
      </c>
      <c r="L35" s="34">
        <v>100</v>
      </c>
      <c r="M35" s="34">
        <v>0</v>
      </c>
      <c r="N35" s="35">
        <f t="shared" si="30"/>
        <v>100</v>
      </c>
      <c r="O35" s="36">
        <v>235903653</v>
      </c>
      <c r="P35" s="36">
        <v>13302650</v>
      </c>
      <c r="Q35" s="35">
        <f t="shared" si="23"/>
        <v>249206303</v>
      </c>
      <c r="R35" s="36"/>
      <c r="S35" s="36"/>
      <c r="T35" s="36"/>
      <c r="U35" s="48"/>
      <c r="V35" s="48"/>
      <c r="W35" s="48"/>
      <c r="X35" s="36">
        <v>246231623</v>
      </c>
      <c r="Y35" s="36">
        <v>9080574</v>
      </c>
      <c r="Z35" s="35">
        <f t="shared" si="3"/>
        <v>255312197</v>
      </c>
      <c r="AA35" s="36">
        <v>118358778</v>
      </c>
      <c r="AB35" s="39">
        <v>8443180</v>
      </c>
      <c r="AC35" s="35">
        <f t="shared" si="4"/>
        <v>126801958</v>
      </c>
      <c r="AD35" s="36">
        <v>9473897</v>
      </c>
      <c r="AE35" s="36">
        <v>268571</v>
      </c>
      <c r="AF35" s="35">
        <f t="shared" si="5"/>
        <v>9742468</v>
      </c>
      <c r="AG35" s="36">
        <v>20785762</v>
      </c>
      <c r="AH35" s="36">
        <v>2596326</v>
      </c>
      <c r="AI35" s="35">
        <f t="shared" si="6"/>
        <v>23382088</v>
      </c>
      <c r="AJ35" s="36">
        <v>1789841</v>
      </c>
      <c r="AK35" s="36">
        <v>1029732</v>
      </c>
      <c r="AL35" s="35">
        <f t="shared" si="7"/>
        <v>2819573</v>
      </c>
      <c r="AM35" s="36">
        <v>19156820</v>
      </c>
      <c r="AN35" s="36">
        <v>359462</v>
      </c>
      <c r="AO35" s="35">
        <f t="shared" si="8"/>
        <v>19516282</v>
      </c>
      <c r="AP35" s="36">
        <v>55632740</v>
      </c>
      <c r="AQ35" s="36">
        <v>7021142</v>
      </c>
      <c r="AR35" s="35">
        <f t="shared" si="9"/>
        <v>62653882</v>
      </c>
      <c r="AS35" s="36">
        <v>129335</v>
      </c>
      <c r="AT35" s="36">
        <v>31458908</v>
      </c>
      <c r="AU35" s="35">
        <f t="shared" si="10"/>
        <v>31588243</v>
      </c>
      <c r="AV35" s="36">
        <v>7309005</v>
      </c>
      <c r="AW35" s="36">
        <v>561141</v>
      </c>
      <c r="AX35" s="35">
        <f t="shared" si="11"/>
        <v>7870146</v>
      </c>
      <c r="AY35" s="36">
        <v>7077</v>
      </c>
      <c r="AZ35" s="36">
        <v>570138</v>
      </c>
      <c r="BA35" s="35">
        <f t="shared" si="31"/>
        <v>577215</v>
      </c>
      <c r="BB35" s="36">
        <v>444878</v>
      </c>
      <c r="BC35" s="36">
        <v>25614928</v>
      </c>
      <c r="BD35" s="35">
        <f t="shared" si="12"/>
        <v>26059806</v>
      </c>
      <c r="BE35" s="36">
        <v>1436181</v>
      </c>
      <c r="BF35" s="36">
        <v>26665</v>
      </c>
      <c r="BG35" s="35">
        <f t="shared" si="13"/>
        <v>1462846</v>
      </c>
      <c r="BH35" s="36">
        <v>9749968</v>
      </c>
      <c r="BI35" s="36">
        <v>674784</v>
      </c>
      <c r="BJ35" s="35">
        <f t="shared" si="14"/>
        <v>10424752</v>
      </c>
      <c r="BK35" s="36">
        <v>402066</v>
      </c>
      <c r="BL35" s="36">
        <v>0</v>
      </c>
      <c r="BM35" s="35">
        <f t="shared" si="32"/>
        <v>402066</v>
      </c>
      <c r="BN35" s="36">
        <v>2380154</v>
      </c>
      <c r="BO35" s="36">
        <v>1165372</v>
      </c>
      <c r="BP35" s="35">
        <f t="shared" si="15"/>
        <v>3545526</v>
      </c>
      <c r="BQ35" s="2"/>
      <c r="BR35" s="36">
        <v>9608081</v>
      </c>
      <c r="BS35" s="36">
        <v>6258051</v>
      </c>
      <c r="BT35" s="35">
        <f t="shared" si="16"/>
        <v>15866132</v>
      </c>
      <c r="BU35" s="36">
        <v>55781659</v>
      </c>
      <c r="BV35" s="36">
        <v>8684009</v>
      </c>
      <c r="BW35" s="35">
        <f t="shared" si="17"/>
        <v>64465668</v>
      </c>
      <c r="BX35" s="34">
        <v>54414</v>
      </c>
      <c r="BY35" s="36">
        <v>11421171</v>
      </c>
      <c r="BZ35" s="36">
        <v>0</v>
      </c>
      <c r="CA35" s="35">
        <f t="shared" si="18"/>
        <v>11421171</v>
      </c>
      <c r="CB35" s="36">
        <v>11047</v>
      </c>
      <c r="CC35" s="36">
        <v>0</v>
      </c>
      <c r="CD35" s="35">
        <f t="shared" si="35"/>
        <v>11047</v>
      </c>
      <c r="CE35" s="36">
        <v>21058084</v>
      </c>
      <c r="CF35" s="36">
        <v>776701</v>
      </c>
      <c r="CG35" s="35">
        <f t="shared" si="24"/>
        <v>21834785</v>
      </c>
      <c r="CH35" s="51">
        <f>CE35-CK35-CN35-CR35-CS35-DC35-DF35</f>
        <v>3942691</v>
      </c>
      <c r="CI35" s="51">
        <f>CF35-CL35-CO35-CV35</f>
        <v>264487</v>
      </c>
      <c r="CJ35" s="51">
        <f t="shared" si="37"/>
        <v>4207178</v>
      </c>
      <c r="CK35" s="41">
        <v>15958823</v>
      </c>
      <c r="CL35" s="41">
        <v>296588</v>
      </c>
      <c r="CM35" s="62">
        <f t="shared" si="33"/>
        <v>16255411</v>
      </c>
      <c r="CN35" s="41">
        <v>908078</v>
      </c>
      <c r="CO35" s="41">
        <v>20000</v>
      </c>
      <c r="CP35" s="62">
        <f t="shared" si="34"/>
        <v>928078</v>
      </c>
      <c r="CQ35" s="41"/>
      <c r="CR35" s="41">
        <v>210</v>
      </c>
      <c r="CS35" s="41">
        <v>180</v>
      </c>
      <c r="CT35" s="41"/>
      <c r="CU35" s="41"/>
      <c r="CV35" s="41">
        <v>195626</v>
      </c>
      <c r="CW35" s="41"/>
      <c r="CX35" s="41"/>
      <c r="CY35" s="41"/>
      <c r="CZ35" s="41"/>
      <c r="DA35" s="41"/>
      <c r="DB35" s="41"/>
      <c r="DC35" s="41">
        <v>102976</v>
      </c>
      <c r="DD35" s="41"/>
      <c r="DE35" s="41"/>
      <c r="DF35" s="41">
        <v>145126</v>
      </c>
      <c r="DG35" s="41"/>
      <c r="DH35" s="41"/>
      <c r="DI35" s="41"/>
      <c r="DJ35" s="41"/>
      <c r="DK35" s="40"/>
      <c r="DL35" s="34">
        <v>39006618</v>
      </c>
      <c r="DM35" s="19">
        <f>SUM(B35,F35,I35,L35,O35,X35,AA35,AD35,AG35,AJ35,AM35,AP35,AS35,AV35,AY35,BB35,BE35,BH35,BK35,BN35,BR35,BU35,BX35,BY35,CB35,CE35)</f>
        <v>912202568</v>
      </c>
      <c r="DN35" s="19">
        <f>SUM(C35,E35,G35,J35,M35,P35,Y35,AB35,AE35,AH35,AK35,AN35,AQ35,AT35,AW35,AZ35,BC35,BF35,BI35,BL35,BO35,BS35,BV35,BZ35,CC35,CF35)</f>
        <v>126115487</v>
      </c>
      <c r="DO35" s="89">
        <f t="shared" si="20"/>
        <v>1077324673</v>
      </c>
      <c r="DP35" s="55"/>
      <c r="DQ35" s="55"/>
      <c r="DR35" s="54"/>
      <c r="DS35" s="54"/>
      <c r="DT35" s="2"/>
      <c r="DU35" s="2"/>
      <c r="DV35" s="2"/>
      <c r="DW35" s="2"/>
      <c r="DX35" s="2"/>
      <c r="DY35" s="2"/>
      <c r="DZ35" s="2"/>
    </row>
    <row r="36" spans="1:130" ht="13.5" customHeight="1">
      <c r="A36" s="16">
        <v>1906</v>
      </c>
      <c r="B36" s="34">
        <v>44392168</v>
      </c>
      <c r="C36" s="34">
        <v>653230</v>
      </c>
      <c r="D36" s="35">
        <f t="shared" si="0"/>
        <v>45045398</v>
      </c>
      <c r="E36" s="36">
        <v>1892853</v>
      </c>
      <c r="F36" s="36">
        <v>38248534</v>
      </c>
      <c r="G36" s="36">
        <v>3081764</v>
      </c>
      <c r="H36" s="35">
        <f t="shared" si="1"/>
        <v>41330298</v>
      </c>
      <c r="I36" s="36">
        <v>284916</v>
      </c>
      <c r="J36" s="36">
        <v>22553</v>
      </c>
      <c r="K36" s="35">
        <f t="shared" si="22"/>
        <v>307469</v>
      </c>
      <c r="L36" s="34">
        <v>20</v>
      </c>
      <c r="M36" s="34">
        <v>0</v>
      </c>
      <c r="N36" s="35">
        <f t="shared" si="30"/>
        <v>20</v>
      </c>
      <c r="O36" s="36">
        <v>214657976</v>
      </c>
      <c r="P36" s="36">
        <v>10789420</v>
      </c>
      <c r="Q36" s="35">
        <f t="shared" si="23"/>
        <v>225447396</v>
      </c>
      <c r="R36" s="36"/>
      <c r="S36" s="36"/>
      <c r="T36" s="36"/>
      <c r="U36" s="48"/>
      <c r="V36" s="48"/>
      <c r="W36" s="48"/>
      <c r="X36" s="36">
        <v>270271857</v>
      </c>
      <c r="Y36" s="36">
        <v>14402706</v>
      </c>
      <c r="Z36" s="35">
        <f t="shared" si="3"/>
        <v>284674563</v>
      </c>
      <c r="AA36" s="36">
        <v>99798089</v>
      </c>
      <c r="AB36" s="39">
        <v>8161123</v>
      </c>
      <c r="AC36" s="35">
        <f t="shared" si="4"/>
        <v>107959212</v>
      </c>
      <c r="AD36" s="36">
        <v>9975910</v>
      </c>
      <c r="AE36" s="36">
        <v>415341</v>
      </c>
      <c r="AF36" s="35">
        <f t="shared" si="5"/>
        <v>10391251</v>
      </c>
      <c r="AG36" s="36">
        <v>25950832</v>
      </c>
      <c r="AH36" s="36">
        <v>4821609</v>
      </c>
      <c r="AI36" s="35">
        <f t="shared" si="6"/>
        <v>30772441</v>
      </c>
      <c r="AJ36" s="36">
        <v>1188099</v>
      </c>
      <c r="AK36" s="36">
        <v>1364384</v>
      </c>
      <c r="AL36" s="35">
        <f t="shared" si="7"/>
        <v>2552483</v>
      </c>
      <c r="AM36" s="36">
        <v>7943801</v>
      </c>
      <c r="AN36" s="36">
        <v>83974</v>
      </c>
      <c r="AO36" s="35">
        <f t="shared" si="8"/>
        <v>8027775</v>
      </c>
      <c r="AP36" s="36">
        <v>43564505</v>
      </c>
      <c r="AQ36" s="36">
        <v>8394285</v>
      </c>
      <c r="AR36" s="35">
        <f t="shared" si="9"/>
        <v>51958790</v>
      </c>
      <c r="AS36" s="36">
        <v>317196</v>
      </c>
      <c r="AT36" s="36">
        <v>57212565</v>
      </c>
      <c r="AU36" s="35">
        <f t="shared" si="10"/>
        <v>57529761</v>
      </c>
      <c r="AV36" s="36">
        <v>5533164</v>
      </c>
      <c r="AW36" s="36">
        <v>810458</v>
      </c>
      <c r="AX36" s="35">
        <f t="shared" si="11"/>
        <v>6343622</v>
      </c>
      <c r="AY36" s="36">
        <v>23600</v>
      </c>
      <c r="AZ36" s="36">
        <v>253055</v>
      </c>
      <c r="BA36" s="35">
        <f t="shared" si="31"/>
        <v>276655</v>
      </c>
      <c r="BB36" s="36">
        <v>115977</v>
      </c>
      <c r="BC36" s="36">
        <v>31640372</v>
      </c>
      <c r="BD36" s="35">
        <f t="shared" si="12"/>
        <v>31756349</v>
      </c>
      <c r="BE36" s="36">
        <v>780344</v>
      </c>
      <c r="BF36" s="36">
        <v>0</v>
      </c>
      <c r="BG36" s="35">
        <f t="shared" si="13"/>
        <v>780344</v>
      </c>
      <c r="BH36" s="36">
        <v>17377156</v>
      </c>
      <c r="BI36" s="36">
        <v>206155</v>
      </c>
      <c r="BJ36" s="35">
        <f t="shared" si="14"/>
        <v>17583311</v>
      </c>
      <c r="BK36" s="36">
        <v>693755</v>
      </c>
      <c r="BL36" s="36">
        <v>6554</v>
      </c>
      <c r="BM36" s="35">
        <f t="shared" si="32"/>
        <v>700309</v>
      </c>
      <c r="BN36" s="36">
        <v>4315759</v>
      </c>
      <c r="BO36" s="36">
        <v>1396054</v>
      </c>
      <c r="BP36" s="35">
        <f t="shared" si="15"/>
        <v>5711813</v>
      </c>
      <c r="BQ36" s="2"/>
      <c r="BR36" s="36">
        <v>8074845</v>
      </c>
      <c r="BS36" s="36">
        <v>7166861</v>
      </c>
      <c r="BT36" s="35">
        <f t="shared" si="16"/>
        <v>15241706</v>
      </c>
      <c r="BU36" s="36">
        <v>62959971</v>
      </c>
      <c r="BV36" s="36">
        <v>13545794</v>
      </c>
      <c r="BW36" s="35">
        <f t="shared" si="17"/>
        <v>76505765</v>
      </c>
      <c r="BX36" s="34">
        <v>126461</v>
      </c>
      <c r="BY36" s="36">
        <v>9175865</v>
      </c>
      <c r="BZ36" s="36">
        <v>413591</v>
      </c>
      <c r="CA36" s="35">
        <f t="shared" si="18"/>
        <v>9589456</v>
      </c>
      <c r="CB36" s="36">
        <v>21513</v>
      </c>
      <c r="CC36" s="36">
        <v>867279</v>
      </c>
      <c r="CD36" s="35">
        <f t="shared" si="35"/>
        <v>888792</v>
      </c>
      <c r="CE36" s="36">
        <v>14015533</v>
      </c>
      <c r="CF36" s="36">
        <v>199711</v>
      </c>
      <c r="CG36" s="35">
        <f t="shared" si="24"/>
        <v>14215244</v>
      </c>
      <c r="CH36" s="51">
        <f>CE36-CK36-CN36-DF36-DJ36</f>
        <v>2701560</v>
      </c>
      <c r="CI36" s="51">
        <f>CF36-CL36-CU36</f>
        <v>24000</v>
      </c>
      <c r="CJ36" s="51">
        <f t="shared" si="37"/>
        <v>2725560</v>
      </c>
      <c r="CK36" s="41">
        <v>10563986</v>
      </c>
      <c r="CL36" s="41">
        <v>172533</v>
      </c>
      <c r="CM36" s="62">
        <f t="shared" si="33"/>
        <v>10736519</v>
      </c>
      <c r="CN36" s="41">
        <v>428747</v>
      </c>
      <c r="CO36" s="67">
        <v>0</v>
      </c>
      <c r="CP36" s="62">
        <f t="shared" si="34"/>
        <v>428747</v>
      </c>
      <c r="CQ36" s="41"/>
      <c r="CR36" s="41"/>
      <c r="CS36" s="41"/>
      <c r="CT36" s="41"/>
      <c r="CU36" s="41">
        <v>3178</v>
      </c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>
        <v>298687</v>
      </c>
      <c r="DG36" s="41"/>
      <c r="DH36" s="41"/>
      <c r="DI36" s="41"/>
      <c r="DJ36" s="41">
        <v>22553</v>
      </c>
      <c r="DK36" s="40"/>
      <c r="DL36" s="34">
        <v>47276557</v>
      </c>
      <c r="DM36" s="19">
        <f>SUM(B36,F36,I36,L36,O36,X36,AA36,AD36,AG36,AJ36,AM36,AP36,AS36,AV36,AY36,BB36,BE36,BH36,BK36,BN36,BR36,BU36,BX36,BY36,CB36,CE36)</f>
        <v>879807846</v>
      </c>
      <c r="DN36" s="19">
        <f>SUM(C36,E36,G36,J36,M36,P36,Y36,AB36,AE36,AH36,AK36,AN36,AQ36,AT36,AW36,AZ36,BC36,BF36,BI36,BL36,BO36,BS36,BV36,BZ36,CC36,CF36)</f>
        <v>167801691</v>
      </c>
      <c r="DO36" s="89">
        <f t="shared" si="20"/>
        <v>1094886094</v>
      </c>
      <c r="DP36" s="55"/>
      <c r="DQ36" s="55"/>
      <c r="DR36" s="54"/>
      <c r="DS36" s="54"/>
      <c r="DT36" s="2"/>
      <c r="DU36" s="2"/>
      <c r="DV36" s="2"/>
      <c r="DW36" s="2"/>
      <c r="DX36" s="2"/>
      <c r="DY36" s="2"/>
      <c r="DZ36" s="2"/>
    </row>
    <row r="37" spans="1:130" ht="13.5" customHeight="1">
      <c r="A37" s="1">
        <v>1907</v>
      </c>
      <c r="B37" s="34">
        <v>41606621</v>
      </c>
      <c r="C37" s="34">
        <v>1019093</v>
      </c>
      <c r="D37" s="35">
        <f t="shared" si="0"/>
        <v>42625714</v>
      </c>
      <c r="E37" s="36">
        <v>2197535</v>
      </c>
      <c r="F37" s="36">
        <v>33853562</v>
      </c>
      <c r="G37" s="36">
        <v>3371077</v>
      </c>
      <c r="H37" s="35">
        <f t="shared" si="1"/>
        <v>37224639</v>
      </c>
      <c r="I37" s="36">
        <v>347444</v>
      </c>
      <c r="J37" s="36">
        <v>5482</v>
      </c>
      <c r="K37" s="35">
        <f t="shared" si="22"/>
        <v>352926</v>
      </c>
      <c r="L37" s="34">
        <v>0</v>
      </c>
      <c r="M37" s="34">
        <v>0</v>
      </c>
      <c r="N37" s="35">
        <f t="shared" si="30"/>
        <v>0</v>
      </c>
      <c r="O37" s="36">
        <v>216055555</v>
      </c>
      <c r="P37" s="36">
        <v>12448260</v>
      </c>
      <c r="Q37" s="35">
        <f t="shared" si="23"/>
        <v>228503815</v>
      </c>
      <c r="R37" s="36"/>
      <c r="S37" s="36"/>
      <c r="T37" s="36"/>
      <c r="U37" s="48"/>
      <c r="V37" s="48"/>
      <c r="W37" s="48"/>
      <c r="X37" s="36">
        <v>273238749</v>
      </c>
      <c r="Y37" s="36">
        <v>17801939</v>
      </c>
      <c r="Z37" s="35">
        <f t="shared" si="3"/>
        <v>291040688</v>
      </c>
      <c r="AA37" s="36">
        <v>101871650</v>
      </c>
      <c r="AB37" s="39">
        <v>12510281</v>
      </c>
      <c r="AC37" s="35">
        <f t="shared" si="4"/>
        <v>114381931</v>
      </c>
      <c r="AD37" s="36">
        <v>10019502</v>
      </c>
      <c r="AE37" s="36">
        <v>391113</v>
      </c>
      <c r="AF37" s="35">
        <f t="shared" si="5"/>
        <v>10410615</v>
      </c>
      <c r="AG37" s="36">
        <v>26095483</v>
      </c>
      <c r="AH37" s="36">
        <v>3817595</v>
      </c>
      <c r="AI37" s="35">
        <f t="shared" si="6"/>
        <v>29913078</v>
      </c>
      <c r="AJ37" s="36">
        <v>1111063</v>
      </c>
      <c r="AK37" s="36">
        <v>2312850</v>
      </c>
      <c r="AL37" s="35">
        <f t="shared" si="7"/>
        <v>3423913</v>
      </c>
      <c r="AM37" s="36">
        <v>2188538</v>
      </c>
      <c r="AN37" s="36">
        <v>212030</v>
      </c>
      <c r="AO37" s="35">
        <f t="shared" si="8"/>
        <v>2400568</v>
      </c>
      <c r="AP37" s="36">
        <v>29623616</v>
      </c>
      <c r="AQ37" s="36">
        <v>4812739</v>
      </c>
      <c r="AR37" s="35">
        <f t="shared" si="9"/>
        <v>34436355</v>
      </c>
      <c r="AS37" s="36">
        <v>451967</v>
      </c>
      <c r="AT37" s="36">
        <v>25988292</v>
      </c>
      <c r="AU37" s="35">
        <f t="shared" si="10"/>
        <v>26440259</v>
      </c>
      <c r="AV37" s="36">
        <v>5407819</v>
      </c>
      <c r="AW37" s="36">
        <v>2056087</v>
      </c>
      <c r="AX37" s="35">
        <f t="shared" si="11"/>
        <v>7463906</v>
      </c>
      <c r="AY37" s="36">
        <v>11824</v>
      </c>
      <c r="AZ37" s="36">
        <v>442410</v>
      </c>
      <c r="BA37" s="35">
        <f t="shared" si="31"/>
        <v>454234</v>
      </c>
      <c r="BB37" s="36">
        <v>166069</v>
      </c>
      <c r="BC37" s="36">
        <v>28097606</v>
      </c>
      <c r="BD37" s="35">
        <f t="shared" si="12"/>
        <v>28263675</v>
      </c>
      <c r="BE37" s="36">
        <v>126011</v>
      </c>
      <c r="BF37" s="36">
        <v>0</v>
      </c>
      <c r="BG37" s="35">
        <f t="shared" si="13"/>
        <v>126011</v>
      </c>
      <c r="BH37" s="36">
        <v>13475080</v>
      </c>
      <c r="BI37" s="36">
        <v>57216</v>
      </c>
      <c r="BJ37" s="35">
        <f t="shared" si="14"/>
        <v>13532296</v>
      </c>
      <c r="BK37" s="36">
        <v>506368</v>
      </c>
      <c r="BL37" s="36">
        <v>10212</v>
      </c>
      <c r="BM37" s="35">
        <f t="shared" si="32"/>
        <v>516580</v>
      </c>
      <c r="BN37" s="36">
        <v>6527970</v>
      </c>
      <c r="BO37" s="36">
        <v>1886016</v>
      </c>
      <c r="BP37" s="35">
        <f t="shared" si="15"/>
        <v>8413986</v>
      </c>
      <c r="BQ37" s="2"/>
      <c r="BR37" s="36">
        <v>10427189</v>
      </c>
      <c r="BS37" s="36">
        <v>8892057</v>
      </c>
      <c r="BT37" s="35">
        <f t="shared" si="16"/>
        <v>19319246</v>
      </c>
      <c r="BU37" s="36">
        <v>58025073</v>
      </c>
      <c r="BV37" s="36">
        <v>15388951</v>
      </c>
      <c r="BW37" s="35">
        <f t="shared" si="17"/>
        <v>73414024</v>
      </c>
      <c r="BX37" s="34">
        <v>339648</v>
      </c>
      <c r="BY37" s="36">
        <v>7143333</v>
      </c>
      <c r="BZ37" s="36">
        <v>1218961</v>
      </c>
      <c r="CA37" s="35">
        <f t="shared" si="18"/>
        <v>8362294</v>
      </c>
      <c r="CB37" s="36">
        <v>18612</v>
      </c>
      <c r="CC37" s="36">
        <v>4178916</v>
      </c>
      <c r="CD37" s="35">
        <f t="shared" si="35"/>
        <v>4197528</v>
      </c>
      <c r="CE37" s="36">
        <v>14953492</v>
      </c>
      <c r="CF37" s="36">
        <v>642868</v>
      </c>
      <c r="CG37" s="35">
        <f t="shared" si="24"/>
        <v>15596360</v>
      </c>
      <c r="CH37" s="51">
        <f>CE37-CK37-CN37-25661-584690-CX37-DE37</f>
        <v>1901812</v>
      </c>
      <c r="CI37" s="51">
        <f>CF37-CL37-CU37-63520-355</f>
        <v>0</v>
      </c>
      <c r="CJ37" s="51">
        <f t="shared" si="37"/>
        <v>1901812</v>
      </c>
      <c r="CK37" s="41">
        <v>11493982</v>
      </c>
      <c r="CL37" s="41">
        <v>436750</v>
      </c>
      <c r="CM37" s="62">
        <f t="shared" si="33"/>
        <v>11930732</v>
      </c>
      <c r="CN37" s="41">
        <v>257945</v>
      </c>
      <c r="CO37" s="67">
        <v>0</v>
      </c>
      <c r="CP37" s="62">
        <f t="shared" si="34"/>
        <v>257945</v>
      </c>
      <c r="CQ37" s="41"/>
      <c r="CR37" s="41"/>
      <c r="CS37" s="41"/>
      <c r="CT37" s="41"/>
      <c r="CU37" s="41">
        <v>142243</v>
      </c>
      <c r="CV37" s="41"/>
      <c r="CW37" s="41"/>
      <c r="CX37" s="41">
        <v>15251</v>
      </c>
      <c r="CY37" s="41"/>
      <c r="CZ37" s="41"/>
      <c r="DA37" s="41"/>
      <c r="DB37" s="41"/>
      <c r="DC37" s="41"/>
      <c r="DD37" s="41"/>
      <c r="DE37" s="41">
        <v>674151</v>
      </c>
      <c r="DF37" s="41"/>
      <c r="DG37" s="41">
        <f>584690+63520</f>
        <v>648210</v>
      </c>
      <c r="DH37" s="41"/>
      <c r="DI37" s="41"/>
      <c r="DJ37" s="41">
        <f>25661+355</f>
        <v>26016</v>
      </c>
      <c r="DK37" s="40"/>
      <c r="DL37" s="34">
        <v>49658648</v>
      </c>
      <c r="DM37" s="19">
        <f>SUM(B37,F37,I37,L37,O37,X37,AA37,AD37,AG37,AJ37,AM37,AP37,AS37,AV37,AY37,BB37,BE37,BH37,BK37,BN37,BR37,BU37,BX37,BY37,CB37,CE37)</f>
        <v>853592238</v>
      </c>
      <c r="DN37" s="19">
        <f>SUM(C37,E37,G37,J37,M37,P37,Y37,AB37,AE37,AH37,AK37,AN37,AQ37,AT37,AW37,AZ37,BC37,BF37,BI37,BL37,BO37,BQ37,BS37,BV37,BZ37,CC37,CF37)</f>
        <v>149759586</v>
      </c>
      <c r="DO37" s="89">
        <f t="shared" si="20"/>
        <v>1053010472</v>
      </c>
      <c r="DP37" s="55"/>
      <c r="DQ37" s="55"/>
      <c r="DR37" s="54"/>
      <c r="DS37" s="54"/>
      <c r="DT37" s="2" t="s">
        <v>81</v>
      </c>
      <c r="DU37" s="2"/>
      <c r="DV37" s="2"/>
      <c r="DW37" s="2"/>
      <c r="DX37" s="2"/>
      <c r="DY37" s="2"/>
      <c r="DZ37" s="2"/>
    </row>
    <row r="38" spans="1:130" ht="13.5" customHeight="1">
      <c r="A38" s="1">
        <v>1908</v>
      </c>
      <c r="B38" s="34">
        <v>48488727</v>
      </c>
      <c r="C38" s="34">
        <v>479070</v>
      </c>
      <c r="D38" s="35">
        <f t="shared" si="0"/>
        <v>48967797</v>
      </c>
      <c r="E38" s="36">
        <v>3014997</v>
      </c>
      <c r="F38" s="36">
        <v>30311947</v>
      </c>
      <c r="G38" s="36">
        <v>4079698</v>
      </c>
      <c r="H38" s="35">
        <f t="shared" si="1"/>
        <v>34391645</v>
      </c>
      <c r="I38" s="36">
        <v>331905</v>
      </c>
      <c r="J38" s="36">
        <v>126136</v>
      </c>
      <c r="K38" s="35">
        <f t="shared" si="22"/>
        <v>458041</v>
      </c>
      <c r="L38" s="34">
        <v>5</v>
      </c>
      <c r="M38" s="34">
        <v>0</v>
      </c>
      <c r="N38" s="35">
        <f t="shared" si="30"/>
        <v>5</v>
      </c>
      <c r="O38" s="36">
        <v>210242567</v>
      </c>
      <c r="P38" s="36">
        <v>10271107</v>
      </c>
      <c r="Q38" s="35">
        <f t="shared" si="23"/>
        <v>220513674</v>
      </c>
      <c r="R38" s="36"/>
      <c r="S38" s="36"/>
      <c r="T38" s="36"/>
      <c r="U38" s="48"/>
      <c r="V38" s="48"/>
      <c r="W38" s="48"/>
      <c r="X38" s="36">
        <v>268505132</v>
      </c>
      <c r="Y38" s="36">
        <v>10486520</v>
      </c>
      <c r="Z38" s="35">
        <f t="shared" si="3"/>
        <v>278991652</v>
      </c>
      <c r="AA38" s="36">
        <v>83801169</v>
      </c>
      <c r="AB38" s="39">
        <v>10013982</v>
      </c>
      <c r="AC38" s="35">
        <f t="shared" si="4"/>
        <v>93815151</v>
      </c>
      <c r="AD38" s="36">
        <v>10331296</v>
      </c>
      <c r="AE38" s="36">
        <v>469543</v>
      </c>
      <c r="AF38" s="35">
        <f t="shared" si="5"/>
        <v>10800839</v>
      </c>
      <c r="AG38" s="36">
        <v>25558834</v>
      </c>
      <c r="AH38" s="36">
        <v>5932404</v>
      </c>
      <c r="AI38" s="35">
        <f t="shared" si="6"/>
        <v>31491238</v>
      </c>
      <c r="AJ38" s="36">
        <v>1133284</v>
      </c>
      <c r="AK38" s="36">
        <v>2504407</v>
      </c>
      <c r="AL38" s="35">
        <f t="shared" si="7"/>
        <v>3637691</v>
      </c>
      <c r="AM38" s="36">
        <v>4858898</v>
      </c>
      <c r="AN38" s="36">
        <v>147200</v>
      </c>
      <c r="AO38" s="35">
        <f t="shared" si="8"/>
        <v>5006098</v>
      </c>
      <c r="AP38" s="36">
        <v>26327984</v>
      </c>
      <c r="AQ38" s="36">
        <v>3608557</v>
      </c>
      <c r="AR38" s="35">
        <f t="shared" si="9"/>
        <v>29936541</v>
      </c>
      <c r="AS38" s="36">
        <v>283989</v>
      </c>
      <c r="AT38" s="36">
        <v>23001388</v>
      </c>
      <c r="AU38" s="35">
        <f t="shared" si="10"/>
        <v>23285377</v>
      </c>
      <c r="AV38" s="36">
        <v>3555174</v>
      </c>
      <c r="AW38" s="36">
        <v>2196989</v>
      </c>
      <c r="AX38" s="35">
        <f t="shared" si="11"/>
        <v>5752163</v>
      </c>
      <c r="AY38" s="36">
        <v>304694</v>
      </c>
      <c r="AZ38" s="36">
        <v>1924</v>
      </c>
      <c r="BA38" s="35">
        <f t="shared" si="31"/>
        <v>306618</v>
      </c>
      <c r="BB38" s="36">
        <v>58605</v>
      </c>
      <c r="BC38" s="36">
        <v>26598153</v>
      </c>
      <c r="BD38" s="35">
        <f t="shared" si="12"/>
        <v>26656758</v>
      </c>
      <c r="BE38" s="36">
        <v>43489</v>
      </c>
      <c r="BF38" s="36">
        <v>103369</v>
      </c>
      <c r="BG38" s="35">
        <f t="shared" si="13"/>
        <v>146858</v>
      </c>
      <c r="BH38" s="36">
        <v>12667625</v>
      </c>
      <c r="BI38" s="36">
        <v>155787</v>
      </c>
      <c r="BJ38" s="35">
        <f t="shared" si="14"/>
        <v>12823412</v>
      </c>
      <c r="BK38" s="36">
        <v>214200</v>
      </c>
      <c r="BL38" s="36">
        <v>4109</v>
      </c>
      <c r="BM38" s="35">
        <f t="shared" si="32"/>
        <v>218309</v>
      </c>
      <c r="BN38" s="36">
        <v>1690502</v>
      </c>
      <c r="BO38" s="36">
        <v>1131204</v>
      </c>
      <c r="BP38" s="35">
        <f t="shared" si="15"/>
        <v>2821706</v>
      </c>
      <c r="BQ38" s="2"/>
      <c r="BR38" s="36">
        <v>13733865</v>
      </c>
      <c r="BS38" s="36">
        <v>9030927</v>
      </c>
      <c r="BT38" s="35">
        <f t="shared" si="16"/>
        <v>22764792</v>
      </c>
      <c r="BU38" s="36">
        <v>51305835</v>
      </c>
      <c r="BV38" s="36">
        <v>13319821</v>
      </c>
      <c r="BW38" s="35">
        <f t="shared" si="17"/>
        <v>64625656</v>
      </c>
      <c r="BX38" s="34">
        <f>78748+231562</f>
        <v>310310</v>
      </c>
      <c r="BY38" s="36">
        <v>4517984</v>
      </c>
      <c r="BZ38" s="36">
        <v>205630</v>
      </c>
      <c r="CA38" s="35">
        <f t="shared" si="18"/>
        <v>4723614</v>
      </c>
      <c r="CB38" s="36">
        <v>444329</v>
      </c>
      <c r="CC38" s="36">
        <v>4670781</v>
      </c>
      <c r="CD38" s="35">
        <f t="shared" si="35"/>
        <v>5115110</v>
      </c>
      <c r="CE38" s="36">
        <v>17700534</v>
      </c>
      <c r="CF38" s="36">
        <v>1211590</v>
      </c>
      <c r="CG38" s="35">
        <f t="shared" si="24"/>
        <v>18912124</v>
      </c>
      <c r="CH38" s="51">
        <f>CE38-CK38-CN38-67600-DF38-CX38-225428</f>
        <v>5169497</v>
      </c>
      <c r="CI38" s="51">
        <f>CF38-CL38-CO38-CU38-CW38-6550-121782</f>
        <v>232406</v>
      </c>
      <c r="CJ38" s="51">
        <f t="shared" si="37"/>
        <v>5401903</v>
      </c>
      <c r="CK38" s="41">
        <v>11869679</v>
      </c>
      <c r="CL38" s="41">
        <v>343632</v>
      </c>
      <c r="CM38" s="62">
        <f t="shared" si="33"/>
        <v>12213311</v>
      </c>
      <c r="CN38" s="41">
        <v>158590</v>
      </c>
      <c r="CO38" s="41">
        <v>21200</v>
      </c>
      <c r="CP38" s="62">
        <f t="shared" si="34"/>
        <v>179790</v>
      </c>
      <c r="CQ38" s="41"/>
      <c r="CR38" s="41"/>
      <c r="CS38" s="41"/>
      <c r="CT38" s="41"/>
      <c r="CU38" s="41">
        <v>410420</v>
      </c>
      <c r="CV38" s="41"/>
      <c r="CW38" s="41">
        <v>75600</v>
      </c>
      <c r="CX38" s="41">
        <v>60</v>
      </c>
      <c r="CY38" s="41"/>
      <c r="CZ38" s="41"/>
      <c r="DA38" s="41"/>
      <c r="DB38" s="41"/>
      <c r="DC38" s="41"/>
      <c r="DD38" s="41"/>
      <c r="DE38" s="41">
        <f>225428+121782</f>
        <v>347210</v>
      </c>
      <c r="DF38" s="41">
        <v>209680</v>
      </c>
      <c r="DG38" s="41"/>
      <c r="DH38" s="41"/>
      <c r="DI38" s="41"/>
      <c r="DJ38" s="41">
        <f>67600+6550</f>
        <v>74150</v>
      </c>
      <c r="DK38" s="40"/>
      <c r="DL38" s="34">
        <v>48762215</v>
      </c>
      <c r="DM38" s="19">
        <f>SUM(B38,F38,I38,L38,O38,X38,AA38,AD38,AG38,AJ38,AM38,AP38,AS38,AV38,AY38,BB38,BE38,BH38,BK38,BN38,BR38,BU38,BX38,BY38,CB38,CE38)-231562</f>
        <v>816491321</v>
      </c>
      <c r="DN38" s="19">
        <f>SUM(C38,E38,G38,J38,M38,P38,Y38,AB38,AE38,AH38,AK38,AN38,AQ38,AT38,AW38,AZ38,BC38,BF38,BI38,BL38,BO38,BQ38,BS38,BV38,BZ38,CC38,CF38)+231562</f>
        <v>132996855</v>
      </c>
      <c r="DO38" s="89">
        <f t="shared" si="20"/>
        <v>998250391</v>
      </c>
      <c r="DP38" s="55"/>
      <c r="DQ38" s="55"/>
      <c r="DR38" s="54"/>
      <c r="DS38" s="54"/>
      <c r="DT38" s="2"/>
      <c r="DU38" s="2"/>
      <c r="DV38" s="2"/>
      <c r="DW38" s="2"/>
      <c r="DX38" s="2"/>
      <c r="DY38" s="2"/>
      <c r="DZ38" s="2"/>
    </row>
    <row r="39" spans="1:130" ht="13.5" customHeight="1">
      <c r="A39" s="1">
        <v>1909</v>
      </c>
      <c r="B39" s="34">
        <v>59853473</v>
      </c>
      <c r="C39" s="34">
        <v>1021256</v>
      </c>
      <c r="D39" s="35">
        <f t="shared" si="0"/>
        <v>60874729</v>
      </c>
      <c r="E39" s="36">
        <v>3366474</v>
      </c>
      <c r="F39" s="36">
        <v>55639189</v>
      </c>
      <c r="G39" s="36">
        <v>8752964</v>
      </c>
      <c r="H39" s="35">
        <f t="shared" si="1"/>
        <v>64392153</v>
      </c>
      <c r="I39" s="36">
        <v>543593</v>
      </c>
      <c r="J39" s="36">
        <v>248278</v>
      </c>
      <c r="K39" s="35">
        <f t="shared" si="22"/>
        <v>791871</v>
      </c>
      <c r="L39" s="34">
        <v>0</v>
      </c>
      <c r="M39" s="34">
        <v>0</v>
      </c>
      <c r="N39" s="35">
        <f t="shared" si="30"/>
        <v>0</v>
      </c>
      <c r="O39" s="36">
        <v>274300381</v>
      </c>
      <c r="P39" s="36">
        <v>14584870</v>
      </c>
      <c r="Q39" s="35">
        <f t="shared" si="23"/>
        <v>288885251</v>
      </c>
      <c r="R39" s="36"/>
      <c r="S39" s="36"/>
      <c r="T39" s="36"/>
      <c r="U39" s="48"/>
      <c r="V39" s="48"/>
      <c r="W39" s="48"/>
      <c r="X39" s="36">
        <v>366405411</v>
      </c>
      <c r="Y39" s="36">
        <v>20713874</v>
      </c>
      <c r="Z39" s="35">
        <f t="shared" si="3"/>
        <v>387119285</v>
      </c>
      <c r="AA39" s="36">
        <v>164384641</v>
      </c>
      <c r="AB39" s="39">
        <v>24813510</v>
      </c>
      <c r="AC39" s="35">
        <f t="shared" si="4"/>
        <v>189198151</v>
      </c>
      <c r="AD39" s="36">
        <v>14861519</v>
      </c>
      <c r="AE39" s="36">
        <v>1692773</v>
      </c>
      <c r="AF39" s="35">
        <f t="shared" si="5"/>
        <v>16554292</v>
      </c>
      <c r="AG39" s="36">
        <v>29995031</v>
      </c>
      <c r="AH39" s="36">
        <v>6732787</v>
      </c>
      <c r="AI39" s="35">
        <f t="shared" si="6"/>
        <v>36727818</v>
      </c>
      <c r="AJ39" s="36">
        <v>1160772</v>
      </c>
      <c r="AK39" s="36">
        <v>1968482</v>
      </c>
      <c r="AL39" s="35">
        <f t="shared" si="7"/>
        <v>3129254</v>
      </c>
      <c r="AM39" s="36">
        <v>4373246</v>
      </c>
      <c r="AN39" s="36">
        <v>82839</v>
      </c>
      <c r="AO39" s="35">
        <f t="shared" si="8"/>
        <v>4456085</v>
      </c>
      <c r="AP39" s="36">
        <v>54938809</v>
      </c>
      <c r="AQ39" s="36">
        <v>12846479</v>
      </c>
      <c r="AR39" s="35">
        <f t="shared" si="9"/>
        <v>67785288</v>
      </c>
      <c r="AS39" s="36">
        <v>869693</v>
      </c>
      <c r="AT39" s="36">
        <v>20911866</v>
      </c>
      <c r="AU39" s="35">
        <f t="shared" si="10"/>
        <v>21781559</v>
      </c>
      <c r="AV39" s="36">
        <v>6295638</v>
      </c>
      <c r="AW39" s="36">
        <v>1796404</v>
      </c>
      <c r="AX39" s="35">
        <f t="shared" si="11"/>
        <v>8092042</v>
      </c>
      <c r="AY39" s="36">
        <v>19618</v>
      </c>
      <c r="AZ39" s="36">
        <v>159317</v>
      </c>
      <c r="BA39" s="35">
        <f t="shared" si="31"/>
        <v>178935</v>
      </c>
      <c r="BB39" s="36">
        <v>6900</v>
      </c>
      <c r="BC39" s="36">
        <v>32295273</v>
      </c>
      <c r="BD39" s="35">
        <f t="shared" si="12"/>
        <v>32302173</v>
      </c>
      <c r="BE39" s="36">
        <v>97149</v>
      </c>
      <c r="BF39" s="36">
        <v>100799</v>
      </c>
      <c r="BG39" s="35">
        <f t="shared" si="13"/>
        <v>197948</v>
      </c>
      <c r="BH39" s="36">
        <v>15715299</v>
      </c>
      <c r="BI39" s="36">
        <v>67949</v>
      </c>
      <c r="BJ39" s="35">
        <f t="shared" si="14"/>
        <v>15783248</v>
      </c>
      <c r="BK39" s="36">
        <v>176379</v>
      </c>
      <c r="BL39" s="36">
        <v>35128</v>
      </c>
      <c r="BM39" s="35">
        <f t="shared" si="32"/>
        <v>211507</v>
      </c>
      <c r="BN39" s="36">
        <v>9831870</v>
      </c>
      <c r="BO39" s="36">
        <v>1664061</v>
      </c>
      <c r="BP39" s="35">
        <f t="shared" si="15"/>
        <v>11495931</v>
      </c>
      <c r="BQ39" s="2"/>
      <c r="BR39" s="36">
        <v>15478588</v>
      </c>
      <c r="BS39" s="36">
        <v>12203676</v>
      </c>
      <c r="BT39" s="35">
        <f t="shared" si="16"/>
        <v>27682264</v>
      </c>
      <c r="BU39" s="36">
        <v>65243884</v>
      </c>
      <c r="BV39" s="36">
        <v>23817133</v>
      </c>
      <c r="BW39" s="35">
        <f t="shared" si="17"/>
        <v>89061017</v>
      </c>
      <c r="BX39" s="34">
        <v>168240</v>
      </c>
      <c r="BY39" s="36">
        <v>10863021</v>
      </c>
      <c r="BZ39" s="36">
        <v>170280</v>
      </c>
      <c r="CA39" s="35">
        <f t="shared" si="18"/>
        <v>11033301</v>
      </c>
      <c r="CB39" s="36">
        <v>21152</v>
      </c>
      <c r="CC39" s="36">
        <v>2085188</v>
      </c>
      <c r="CD39" s="35">
        <f t="shared" si="35"/>
        <v>2106340</v>
      </c>
      <c r="CE39" s="36">
        <v>31114959</v>
      </c>
      <c r="CF39" s="36">
        <v>1383065</v>
      </c>
      <c r="CG39" s="35">
        <f t="shared" si="24"/>
        <v>32498024</v>
      </c>
      <c r="CH39" s="51">
        <f>CE39-CK39-CN39-DJ39-DF39-CX39-2087824-DG39-DI39</f>
        <v>13999812</v>
      </c>
      <c r="CI39" s="51">
        <f>CF39-CL39-CU39-8240</f>
        <v>173645</v>
      </c>
      <c r="CJ39" s="51">
        <f t="shared" si="37"/>
        <v>14173457</v>
      </c>
      <c r="CK39" s="41">
        <v>10800605</v>
      </c>
      <c r="CL39" s="41">
        <v>1146348</v>
      </c>
      <c r="CM39" s="62">
        <f t="shared" si="33"/>
        <v>11946953</v>
      </c>
      <c r="CN39" s="41">
        <v>995549</v>
      </c>
      <c r="CO39" s="41"/>
      <c r="CP39" s="62">
        <f t="shared" si="34"/>
        <v>995549</v>
      </c>
      <c r="CQ39" s="41"/>
      <c r="CR39" s="41"/>
      <c r="CS39" s="41"/>
      <c r="CT39" s="41"/>
      <c r="CU39" s="41">
        <v>54832</v>
      </c>
      <c r="CV39" s="41"/>
      <c r="CW39" s="41"/>
      <c r="CX39" s="41">
        <v>100</v>
      </c>
      <c r="CY39" s="41"/>
      <c r="CZ39" s="41"/>
      <c r="DA39" s="41"/>
      <c r="DB39" s="41"/>
      <c r="DC39" s="41"/>
      <c r="DD39" s="41"/>
      <c r="DE39" s="41">
        <f>2087824+8240</f>
        <v>2096064</v>
      </c>
      <c r="DF39" s="41">
        <v>930387</v>
      </c>
      <c r="DG39" s="41">
        <v>230237</v>
      </c>
      <c r="DH39" s="41"/>
      <c r="DI39" s="41">
        <v>2037315</v>
      </c>
      <c r="DJ39" s="41">
        <v>33130</v>
      </c>
      <c r="DK39" s="40"/>
      <c r="DL39" s="34">
        <v>51801356</v>
      </c>
      <c r="DM39" s="19">
        <f aca="true" t="shared" si="38" ref="DM39:DM47">SUM(B39,F39,I39,L39,O39,X39,AA39,AD39,AG39,AJ39,AM39,AP39,AS39,AV39,AY39,BB39,BE39,BH39,BK39,BN39,BR39,BU39,BX39,BY39,CB39,CE39)</f>
        <v>1182358455</v>
      </c>
      <c r="DN39" s="19">
        <f aca="true" t="shared" si="39" ref="DN39:DN47">SUM(C39,E39,G39,J39,M39,P39,Y39,AB39,AE39,AH39,AK39,AN39,AQ39,AT39,AW39,AZ39,BC39,BF39,BI39,BL39,BO39,BQ39,BS39,BV39,BZ39,CC39,CF39)</f>
        <v>193514725</v>
      </c>
      <c r="DO39" s="89">
        <f t="shared" si="20"/>
        <v>1427674536</v>
      </c>
      <c r="DP39" s="55"/>
      <c r="DQ39" s="55"/>
      <c r="DR39" s="54"/>
      <c r="DS39" s="54"/>
      <c r="DT39" s="2"/>
      <c r="DU39" s="2"/>
      <c r="DV39" s="2"/>
      <c r="DW39" s="2"/>
      <c r="DX39" s="2"/>
      <c r="DY39" s="2"/>
      <c r="DZ39" s="2"/>
    </row>
    <row r="40" spans="1:130" ht="13.5" customHeight="1">
      <c r="A40" s="1">
        <v>1910</v>
      </c>
      <c r="B40" s="34">
        <v>48493775</v>
      </c>
      <c r="C40" s="34">
        <v>1241394</v>
      </c>
      <c r="D40" s="35">
        <f t="shared" si="0"/>
        <v>49735169</v>
      </c>
      <c r="E40" s="34">
        <v>4399441</v>
      </c>
      <c r="F40" s="34">
        <v>58458861</v>
      </c>
      <c r="G40" s="34">
        <v>8055825</v>
      </c>
      <c r="H40" s="35">
        <f t="shared" si="1"/>
        <v>66514686</v>
      </c>
      <c r="I40" s="34">
        <v>211101</v>
      </c>
      <c r="J40" s="34">
        <v>0</v>
      </c>
      <c r="K40" s="35">
        <f t="shared" si="22"/>
        <v>211101</v>
      </c>
      <c r="L40" s="34">
        <v>0</v>
      </c>
      <c r="M40" s="34">
        <v>0</v>
      </c>
      <c r="N40" s="35">
        <f t="shared" si="30"/>
        <v>0</v>
      </c>
      <c r="O40" s="36">
        <v>297768311</v>
      </c>
      <c r="P40" s="34">
        <v>17707563</v>
      </c>
      <c r="Q40" s="35">
        <f t="shared" si="23"/>
        <v>315475874</v>
      </c>
      <c r="R40" s="34"/>
      <c r="S40" s="34"/>
      <c r="T40" s="34"/>
      <c r="U40" s="48"/>
      <c r="V40" s="48"/>
      <c r="W40" s="48"/>
      <c r="X40" s="34">
        <v>375160793</v>
      </c>
      <c r="Y40" s="34">
        <v>15479384</v>
      </c>
      <c r="Z40" s="35">
        <f t="shared" si="3"/>
        <v>390640177</v>
      </c>
      <c r="AA40" s="34">
        <v>175420904</v>
      </c>
      <c r="AB40" s="40">
        <v>20561470</v>
      </c>
      <c r="AC40" s="35">
        <f t="shared" si="4"/>
        <v>195982374</v>
      </c>
      <c r="AD40" s="34">
        <v>17266051</v>
      </c>
      <c r="AE40" s="34">
        <v>1065030</v>
      </c>
      <c r="AF40" s="35">
        <f t="shared" si="5"/>
        <v>18331081</v>
      </c>
      <c r="AG40" s="34">
        <v>22197625</v>
      </c>
      <c r="AH40" s="34">
        <v>4335974</v>
      </c>
      <c r="AI40" s="35">
        <f t="shared" si="6"/>
        <v>26533599</v>
      </c>
      <c r="AJ40" s="34">
        <v>1405437</v>
      </c>
      <c r="AK40" s="34">
        <v>1904154</v>
      </c>
      <c r="AL40" s="35">
        <f t="shared" si="7"/>
        <v>3309591</v>
      </c>
      <c r="AM40" s="34">
        <v>6740764</v>
      </c>
      <c r="AN40" s="34">
        <v>266197</v>
      </c>
      <c r="AO40" s="35">
        <f t="shared" si="8"/>
        <v>7006961</v>
      </c>
      <c r="AP40" s="34">
        <v>64299656</v>
      </c>
      <c r="AQ40" s="34">
        <v>10896394</v>
      </c>
      <c r="AR40" s="35">
        <f t="shared" si="9"/>
        <v>75196050</v>
      </c>
      <c r="AS40" s="36">
        <v>1228408</v>
      </c>
      <c r="AT40" s="36">
        <v>18929596</v>
      </c>
      <c r="AU40" s="35">
        <f t="shared" si="10"/>
        <v>20158004</v>
      </c>
      <c r="AV40" s="36">
        <v>5021045</v>
      </c>
      <c r="AW40" s="36">
        <v>1132505</v>
      </c>
      <c r="AX40" s="35">
        <f t="shared" si="11"/>
        <v>6153550</v>
      </c>
      <c r="AY40" s="34">
        <v>20433</v>
      </c>
      <c r="AZ40" s="34">
        <v>330</v>
      </c>
      <c r="BA40" s="35">
        <f t="shared" si="31"/>
        <v>20763</v>
      </c>
      <c r="BB40" s="34">
        <v>25963</v>
      </c>
      <c r="BC40" s="34">
        <v>37878286</v>
      </c>
      <c r="BD40" s="35">
        <f t="shared" si="12"/>
        <v>37904249</v>
      </c>
      <c r="BE40" s="34">
        <v>1907096</v>
      </c>
      <c r="BF40" s="34">
        <v>79900</v>
      </c>
      <c r="BG40" s="35">
        <f t="shared" si="13"/>
        <v>1986996</v>
      </c>
      <c r="BH40" s="34">
        <v>14939743</v>
      </c>
      <c r="BI40" s="34">
        <v>109579</v>
      </c>
      <c r="BJ40" s="35">
        <f t="shared" si="14"/>
        <v>15049322</v>
      </c>
      <c r="BK40" s="34">
        <v>317219</v>
      </c>
      <c r="BL40" s="34">
        <v>41477</v>
      </c>
      <c r="BM40" s="35">
        <f t="shared" si="32"/>
        <v>358696</v>
      </c>
      <c r="BN40" s="34">
        <v>8136772</v>
      </c>
      <c r="BO40" s="34">
        <v>1352668</v>
      </c>
      <c r="BP40" s="35">
        <f t="shared" si="15"/>
        <v>9489440</v>
      </c>
      <c r="BQ40" s="2"/>
      <c r="BR40" s="34">
        <v>15932623</v>
      </c>
      <c r="BS40" s="34">
        <v>11926494</v>
      </c>
      <c r="BT40" s="35">
        <f t="shared" si="16"/>
        <v>27859117</v>
      </c>
      <c r="BU40" s="34">
        <v>76391687</v>
      </c>
      <c r="BV40" s="34">
        <v>17254695</v>
      </c>
      <c r="BW40" s="35">
        <f t="shared" si="17"/>
        <v>93646382</v>
      </c>
      <c r="BX40" s="34">
        <v>236364</v>
      </c>
      <c r="BY40" s="34">
        <v>8465754</v>
      </c>
      <c r="BZ40" s="34">
        <v>441247</v>
      </c>
      <c r="CA40" s="35">
        <f t="shared" si="18"/>
        <v>8907001</v>
      </c>
      <c r="CB40" s="34">
        <v>109072</v>
      </c>
      <c r="CC40" s="34">
        <v>1994249</v>
      </c>
      <c r="CD40" s="35">
        <f t="shared" si="35"/>
        <v>2103321</v>
      </c>
      <c r="CE40" s="34">
        <v>28660275</v>
      </c>
      <c r="CF40" s="34">
        <v>394725</v>
      </c>
      <c r="CG40" s="35">
        <f t="shared" si="24"/>
        <v>29055000</v>
      </c>
      <c r="CH40" s="51">
        <f>CE40-CK40-CN40-DE40-DF40-DG40-DI40-DJ40</f>
        <v>12226553</v>
      </c>
      <c r="CI40" s="51">
        <f>CF40-CL40-CO40-CS40-CU40</f>
        <v>0</v>
      </c>
      <c r="CJ40" s="51">
        <f t="shared" si="37"/>
        <v>12226553</v>
      </c>
      <c r="CK40" s="41">
        <v>14238000</v>
      </c>
      <c r="CL40" s="41">
        <v>99244</v>
      </c>
      <c r="CM40" s="62">
        <f t="shared" si="33"/>
        <v>14337244</v>
      </c>
      <c r="CN40" s="41">
        <v>165</v>
      </c>
      <c r="CO40" s="41">
        <v>55887</v>
      </c>
      <c r="CP40" s="62">
        <f t="shared" si="34"/>
        <v>56052</v>
      </c>
      <c r="CQ40" s="41"/>
      <c r="CR40" s="41"/>
      <c r="CS40" s="41">
        <v>225150</v>
      </c>
      <c r="CT40" s="41"/>
      <c r="CU40" s="41">
        <v>14444</v>
      </c>
      <c r="CV40" s="41"/>
      <c r="CW40" s="41"/>
      <c r="CX40" s="41"/>
      <c r="CY40" s="41"/>
      <c r="CZ40" s="41"/>
      <c r="DA40" s="41"/>
      <c r="DB40" s="41"/>
      <c r="DC40" s="41"/>
      <c r="DD40" s="41"/>
      <c r="DE40" s="41">
        <v>893864</v>
      </c>
      <c r="DF40" s="41">
        <v>717393</v>
      </c>
      <c r="DG40" s="41">
        <v>64516</v>
      </c>
      <c r="DH40" s="41"/>
      <c r="DI40" s="41">
        <v>407172</v>
      </c>
      <c r="DJ40" s="41">
        <v>112612</v>
      </c>
      <c r="DK40" s="40"/>
      <c r="DL40" s="34">
        <v>42821030</v>
      </c>
      <c r="DM40" s="19">
        <f t="shared" si="38"/>
        <v>1228815732</v>
      </c>
      <c r="DN40" s="19">
        <f t="shared" si="39"/>
        <v>177448577</v>
      </c>
      <c r="DO40" s="89">
        <f t="shared" si="20"/>
        <v>1449085339</v>
      </c>
      <c r="DP40" s="55"/>
      <c r="DQ40" s="55"/>
      <c r="DR40" s="54"/>
      <c r="DS40" s="54"/>
      <c r="DT40" s="2"/>
      <c r="DU40" s="2"/>
      <c r="DV40" s="2"/>
      <c r="DW40" s="2"/>
      <c r="DX40" s="2"/>
      <c r="DY40" s="2"/>
      <c r="DZ40" s="2"/>
    </row>
    <row r="41" spans="1:130" ht="13.5" customHeight="1">
      <c r="A41" s="1">
        <v>1911</v>
      </c>
      <c r="B41" s="34">
        <v>67102749</v>
      </c>
      <c r="C41" s="34">
        <v>827380</v>
      </c>
      <c r="D41" s="35">
        <f t="shared" si="0"/>
        <v>67930129</v>
      </c>
      <c r="E41" s="34">
        <v>5578699</v>
      </c>
      <c r="F41" s="34">
        <v>45981188</v>
      </c>
      <c r="G41" s="34">
        <v>9443202</v>
      </c>
      <c r="H41" s="35">
        <f t="shared" si="1"/>
        <v>55424390</v>
      </c>
      <c r="I41" s="34">
        <v>304969</v>
      </c>
      <c r="J41" s="34">
        <v>16318</v>
      </c>
      <c r="K41" s="35">
        <f t="shared" si="22"/>
        <v>321287</v>
      </c>
      <c r="L41" s="34">
        <v>0</v>
      </c>
      <c r="M41" s="34">
        <v>502059</v>
      </c>
      <c r="N41" s="35">
        <f t="shared" si="30"/>
        <v>502059</v>
      </c>
      <c r="O41" s="36">
        <v>317688786</v>
      </c>
      <c r="P41" s="34">
        <v>19343071</v>
      </c>
      <c r="Q41" s="35">
        <f t="shared" si="23"/>
        <v>337031857</v>
      </c>
      <c r="R41" s="34"/>
      <c r="S41" s="34"/>
      <c r="T41" s="34"/>
      <c r="U41" s="48"/>
      <c r="V41" s="48"/>
      <c r="W41" s="48"/>
      <c r="X41" s="34">
        <v>465536516</v>
      </c>
      <c r="Y41" s="34">
        <v>24988705</v>
      </c>
      <c r="Z41" s="35">
        <f t="shared" si="3"/>
        <v>490525221</v>
      </c>
      <c r="AA41" s="34">
        <v>175031373</v>
      </c>
      <c r="AB41" s="40">
        <v>13767931</v>
      </c>
      <c r="AC41" s="35">
        <f t="shared" si="4"/>
        <v>188799304</v>
      </c>
      <c r="AD41" s="34">
        <v>12885735</v>
      </c>
      <c r="AE41" s="34">
        <v>1693088</v>
      </c>
      <c r="AF41" s="35">
        <f t="shared" si="5"/>
        <v>14578823</v>
      </c>
      <c r="AG41" s="34">
        <v>28764743</v>
      </c>
      <c r="AH41" s="34">
        <v>6840263</v>
      </c>
      <c r="AI41" s="35">
        <f t="shared" si="6"/>
        <v>35605006</v>
      </c>
      <c r="AJ41" s="34">
        <v>1383594</v>
      </c>
      <c r="AK41" s="34">
        <v>1814413</v>
      </c>
      <c r="AL41" s="35">
        <f t="shared" si="7"/>
        <v>3198007</v>
      </c>
      <c r="AM41" s="34">
        <v>4185767</v>
      </c>
      <c r="AN41" s="34">
        <v>371301</v>
      </c>
      <c r="AO41" s="35">
        <f t="shared" si="8"/>
        <v>4557068</v>
      </c>
      <c r="AP41" s="34">
        <v>40578203</v>
      </c>
      <c r="AQ41" s="34">
        <v>12130711</v>
      </c>
      <c r="AR41" s="35">
        <f t="shared" si="9"/>
        <v>52708914</v>
      </c>
      <c r="AS41" s="36">
        <v>1649159</v>
      </c>
      <c r="AT41" s="36">
        <v>23948643</v>
      </c>
      <c r="AU41" s="35">
        <f t="shared" si="10"/>
        <v>25597802</v>
      </c>
      <c r="AV41" s="36">
        <v>9066675</v>
      </c>
      <c r="AW41" s="36">
        <v>890104</v>
      </c>
      <c r="AX41" s="35">
        <f t="shared" si="11"/>
        <v>9956779</v>
      </c>
      <c r="AY41" s="34">
        <v>17396</v>
      </c>
      <c r="AZ41" s="34">
        <v>13179</v>
      </c>
      <c r="BA41" s="35">
        <f t="shared" si="31"/>
        <v>30575</v>
      </c>
      <c r="BB41" s="34">
        <v>72801</v>
      </c>
      <c r="BC41" s="34">
        <v>44477787</v>
      </c>
      <c r="BD41" s="35">
        <f t="shared" si="12"/>
        <v>44550588</v>
      </c>
      <c r="BE41" s="34">
        <v>108995</v>
      </c>
      <c r="BF41" s="34">
        <v>0</v>
      </c>
      <c r="BG41" s="35">
        <f t="shared" si="13"/>
        <v>108995</v>
      </c>
      <c r="BH41" s="34">
        <v>29454800</v>
      </c>
      <c r="BI41" s="34">
        <v>264711</v>
      </c>
      <c r="BJ41" s="35">
        <f t="shared" si="14"/>
        <v>29719511</v>
      </c>
      <c r="BK41" s="34">
        <v>204244</v>
      </c>
      <c r="BL41" s="34">
        <v>17849</v>
      </c>
      <c r="BM41" s="35">
        <f t="shared" si="32"/>
        <v>222093</v>
      </c>
      <c r="BN41" s="34">
        <v>12008981</v>
      </c>
      <c r="BO41" s="34">
        <v>1458388</v>
      </c>
      <c r="BP41" s="35">
        <f t="shared" si="15"/>
        <v>13467369</v>
      </c>
      <c r="BQ41" s="2"/>
      <c r="BR41" s="34">
        <v>24300556</v>
      </c>
      <c r="BS41" s="34">
        <v>9279487</v>
      </c>
      <c r="BT41" s="35">
        <f t="shared" si="16"/>
        <v>33580043</v>
      </c>
      <c r="BU41" s="34">
        <v>74152767</v>
      </c>
      <c r="BV41" s="34">
        <v>16660219</v>
      </c>
      <c r="BW41" s="35">
        <f t="shared" si="17"/>
        <v>90812986</v>
      </c>
      <c r="BX41" s="34">
        <v>392714</v>
      </c>
      <c r="BY41" s="34">
        <v>8237951</v>
      </c>
      <c r="BZ41" s="34">
        <v>702432</v>
      </c>
      <c r="CA41" s="35">
        <f t="shared" si="18"/>
        <v>8940383</v>
      </c>
      <c r="CB41" s="34">
        <v>83897</v>
      </c>
      <c r="CC41" s="34">
        <v>1608203</v>
      </c>
      <c r="CD41" s="35">
        <f t="shared" si="35"/>
        <v>1692100</v>
      </c>
      <c r="CE41" s="34">
        <v>21385068</v>
      </c>
      <c r="CF41" s="34">
        <v>525350</v>
      </c>
      <c r="CG41" s="35">
        <f t="shared" si="24"/>
        <v>21910418</v>
      </c>
      <c r="CH41" s="51">
        <f>CE41-CK41-CN41-114082-DE41-DF41</f>
        <v>7604963</v>
      </c>
      <c r="CI41" s="51">
        <f>CF41-CL41-CO41-CU41-700</f>
        <v>0</v>
      </c>
      <c r="CJ41" s="51">
        <f t="shared" si="37"/>
        <v>7604963</v>
      </c>
      <c r="CK41" s="41">
        <v>12123909</v>
      </c>
      <c r="CL41" s="41">
        <v>405877</v>
      </c>
      <c r="CM41" s="62">
        <f t="shared" si="33"/>
        <v>12529786</v>
      </c>
      <c r="CN41" s="41">
        <v>552060</v>
      </c>
      <c r="CO41" s="41">
        <v>63924</v>
      </c>
      <c r="CP41" s="62">
        <f t="shared" si="34"/>
        <v>615984</v>
      </c>
      <c r="CQ41" s="41"/>
      <c r="CR41" s="41"/>
      <c r="CS41" s="41"/>
      <c r="CT41" s="41"/>
      <c r="CU41" s="41">
        <v>54849</v>
      </c>
      <c r="CV41" s="41"/>
      <c r="CW41" s="41"/>
      <c r="CX41" s="41"/>
      <c r="CY41" s="41"/>
      <c r="CZ41" s="41"/>
      <c r="DA41" s="41"/>
      <c r="DB41" s="41"/>
      <c r="DC41" s="41"/>
      <c r="DD41" s="41"/>
      <c r="DE41" s="41">
        <v>252358</v>
      </c>
      <c r="DF41" s="41">
        <v>737696</v>
      </c>
      <c r="DG41" s="41"/>
      <c r="DH41" s="41"/>
      <c r="DI41" s="41"/>
      <c r="DJ41" s="41">
        <f>114082+700</f>
        <v>114782</v>
      </c>
      <c r="DK41" s="40"/>
      <c r="DL41" s="34">
        <v>53668344</v>
      </c>
      <c r="DM41" s="19">
        <f t="shared" si="38"/>
        <v>1340579627</v>
      </c>
      <c r="DN41" s="19">
        <f t="shared" si="39"/>
        <v>197163493</v>
      </c>
      <c r="DO41" s="89">
        <f t="shared" si="20"/>
        <v>1591411464</v>
      </c>
      <c r="DP41" s="55"/>
      <c r="DQ41" s="55"/>
      <c r="DR41" s="54"/>
      <c r="DS41" s="54"/>
      <c r="DT41" s="2"/>
      <c r="DU41" s="2"/>
      <c r="DV41" s="2"/>
      <c r="DW41" s="2"/>
      <c r="DX41" s="2"/>
      <c r="DY41" s="2"/>
      <c r="DZ41" s="2"/>
    </row>
    <row r="42" spans="1:130" ht="13.5" customHeight="1">
      <c r="A42" s="1">
        <v>1912</v>
      </c>
      <c r="B42" s="34">
        <v>71516759</v>
      </c>
      <c r="C42" s="34">
        <v>1891818</v>
      </c>
      <c r="D42" s="35">
        <f t="shared" si="0"/>
        <v>73408577</v>
      </c>
      <c r="E42" s="34">
        <v>6464050</v>
      </c>
      <c r="F42" s="34">
        <v>51812398</v>
      </c>
      <c r="G42" s="34">
        <v>7109474</v>
      </c>
      <c r="H42" s="35">
        <f t="shared" si="1"/>
        <v>58921872</v>
      </c>
      <c r="I42" s="34">
        <v>3529630</v>
      </c>
      <c r="J42" s="34">
        <v>14000</v>
      </c>
      <c r="K42" s="35">
        <f t="shared" si="22"/>
        <v>3543630</v>
      </c>
      <c r="L42" s="34">
        <v>0</v>
      </c>
      <c r="M42" s="34">
        <v>0</v>
      </c>
      <c r="N42" s="35">
        <f t="shared" si="30"/>
        <v>0</v>
      </c>
      <c r="O42" s="36">
        <v>311056829</v>
      </c>
      <c r="P42" s="34">
        <v>16753917</v>
      </c>
      <c r="Q42" s="35">
        <f t="shared" si="23"/>
        <v>327810746</v>
      </c>
      <c r="R42" s="34"/>
      <c r="S42" s="34"/>
      <c r="T42" s="34"/>
      <c r="U42" s="48"/>
      <c r="V42" s="48"/>
      <c r="W42" s="48"/>
      <c r="X42" s="34">
        <v>431810607</v>
      </c>
      <c r="Y42" s="34">
        <v>22017287</v>
      </c>
      <c r="Z42" s="35">
        <f t="shared" si="3"/>
        <v>453827894</v>
      </c>
      <c r="AA42" s="34">
        <v>139870254</v>
      </c>
      <c r="AB42" s="40">
        <v>14121170</v>
      </c>
      <c r="AC42" s="35">
        <f t="shared" si="4"/>
        <v>153991424</v>
      </c>
      <c r="AD42" s="34">
        <v>8033269</v>
      </c>
      <c r="AE42" s="34">
        <v>592611</v>
      </c>
      <c r="AF42" s="35">
        <f t="shared" si="5"/>
        <v>8625880</v>
      </c>
      <c r="AG42" s="34">
        <v>30581729</v>
      </c>
      <c r="AH42" s="34">
        <v>7503635</v>
      </c>
      <c r="AI42" s="35">
        <f t="shared" si="6"/>
        <v>38085364</v>
      </c>
      <c r="AJ42" s="34">
        <v>1764075</v>
      </c>
      <c r="AK42" s="34">
        <v>3512936</v>
      </c>
      <c r="AL42" s="35">
        <f t="shared" si="7"/>
        <v>5277011</v>
      </c>
      <c r="AM42" s="34">
        <v>2655782</v>
      </c>
      <c r="AN42" s="34">
        <v>97747</v>
      </c>
      <c r="AO42" s="35">
        <f t="shared" si="8"/>
        <v>2753529</v>
      </c>
      <c r="AP42" s="34">
        <v>41959989</v>
      </c>
      <c r="AQ42" s="34">
        <v>10515921</v>
      </c>
      <c r="AR42" s="35">
        <f t="shared" si="9"/>
        <v>52475910</v>
      </c>
      <c r="AS42" s="36">
        <v>2605071</v>
      </c>
      <c r="AT42" s="36">
        <v>28082937</v>
      </c>
      <c r="AU42" s="35">
        <f t="shared" si="10"/>
        <v>30688008</v>
      </c>
      <c r="AV42" s="36">
        <v>4449394</v>
      </c>
      <c r="AW42" s="36">
        <v>398246</v>
      </c>
      <c r="AX42" s="35">
        <f t="shared" si="11"/>
        <v>4847640</v>
      </c>
      <c r="AY42" s="34">
        <v>57857</v>
      </c>
      <c r="AZ42" s="34">
        <v>0</v>
      </c>
      <c r="BA42" s="35">
        <f t="shared" si="31"/>
        <v>57857</v>
      </c>
      <c r="BB42" s="34">
        <v>357117</v>
      </c>
      <c r="BC42" s="34">
        <v>52639523</v>
      </c>
      <c r="BD42" s="35">
        <f t="shared" si="12"/>
        <v>52996640</v>
      </c>
      <c r="BE42" s="34">
        <v>687429</v>
      </c>
      <c r="BF42" s="34">
        <v>0</v>
      </c>
      <c r="BG42" s="35">
        <f t="shared" si="13"/>
        <v>687429</v>
      </c>
      <c r="BH42" s="34">
        <v>20138754</v>
      </c>
      <c r="BI42" s="34">
        <v>194612</v>
      </c>
      <c r="BJ42" s="35">
        <f t="shared" si="14"/>
        <v>20333366</v>
      </c>
      <c r="BK42" s="34">
        <v>635712</v>
      </c>
      <c r="BL42" s="34">
        <v>1064</v>
      </c>
      <c r="BM42" s="35">
        <f t="shared" si="32"/>
        <v>636776</v>
      </c>
      <c r="BN42" s="34">
        <v>16202492</v>
      </c>
      <c r="BO42" s="34">
        <v>1804522</v>
      </c>
      <c r="BP42" s="35">
        <f t="shared" si="15"/>
        <v>18007014</v>
      </c>
      <c r="BQ42" s="2"/>
      <c r="BR42" s="34">
        <v>21489249</v>
      </c>
      <c r="BS42" s="34">
        <v>8636853</v>
      </c>
      <c r="BT42" s="35">
        <f t="shared" si="16"/>
        <v>30126102</v>
      </c>
      <c r="BU42" s="34">
        <v>83033071</v>
      </c>
      <c r="BV42" s="34">
        <v>15123658</v>
      </c>
      <c r="BW42" s="35">
        <f t="shared" si="17"/>
        <v>98156729</v>
      </c>
      <c r="BX42" s="34">
        <v>317938</v>
      </c>
      <c r="BY42" s="34">
        <v>9362165</v>
      </c>
      <c r="BZ42" s="34">
        <v>952547</v>
      </c>
      <c r="CA42" s="35">
        <f t="shared" si="18"/>
        <v>10314712</v>
      </c>
      <c r="CB42" s="34">
        <v>22795</v>
      </c>
      <c r="CC42" s="34">
        <v>1629643</v>
      </c>
      <c r="CD42" s="35">
        <f t="shared" si="35"/>
        <v>1652438</v>
      </c>
      <c r="CE42" s="34">
        <v>13828414</v>
      </c>
      <c r="CF42" s="34">
        <v>1338173</v>
      </c>
      <c r="CG42" s="35">
        <f t="shared" si="24"/>
        <v>15166587</v>
      </c>
      <c r="CH42" s="51">
        <f>CE42-CK42-CN42-122425-DF42-330300-DG42</f>
        <v>6672199</v>
      </c>
      <c r="CI42" s="51">
        <f>CF42-CL42-CU42-2958-258388</f>
        <v>200000</v>
      </c>
      <c r="CJ42" s="51">
        <f t="shared" si="37"/>
        <v>6872199</v>
      </c>
      <c r="CK42" s="41">
        <v>5696679</v>
      </c>
      <c r="CL42" s="41">
        <v>823037</v>
      </c>
      <c r="CM42" s="62">
        <f t="shared" si="33"/>
        <v>6519716</v>
      </c>
      <c r="CN42" s="41">
        <v>670137</v>
      </c>
      <c r="CO42" s="67"/>
      <c r="CP42" s="62">
        <f t="shared" si="34"/>
        <v>670137</v>
      </c>
      <c r="CQ42" s="41"/>
      <c r="CR42" s="41"/>
      <c r="CS42" s="41"/>
      <c r="CT42" s="41"/>
      <c r="CU42" s="41">
        <v>53790</v>
      </c>
      <c r="CV42" s="41"/>
      <c r="CW42" s="41"/>
      <c r="CX42" s="41"/>
      <c r="CY42" s="41"/>
      <c r="CZ42" s="41"/>
      <c r="DA42" s="41"/>
      <c r="DB42" s="41"/>
      <c r="DC42" s="41"/>
      <c r="DD42" s="41"/>
      <c r="DE42" s="41">
        <f>330300+258388</f>
        <v>588688</v>
      </c>
      <c r="DF42" s="41">
        <v>1561</v>
      </c>
      <c r="DG42" s="41">
        <v>335113</v>
      </c>
      <c r="DH42" s="41"/>
      <c r="DI42" s="41"/>
      <c r="DJ42" s="41">
        <f>122425+2958</f>
        <v>125383</v>
      </c>
      <c r="DK42" s="43"/>
      <c r="DL42" s="34">
        <v>49622444</v>
      </c>
      <c r="DM42" s="19">
        <f t="shared" si="38"/>
        <v>1267778779</v>
      </c>
      <c r="DN42" s="19">
        <f t="shared" si="39"/>
        <v>201396344</v>
      </c>
      <c r="DO42" s="89">
        <f t="shared" si="20"/>
        <v>1518797567</v>
      </c>
      <c r="DP42" s="55"/>
      <c r="DQ42" s="55"/>
      <c r="DR42" s="54"/>
      <c r="DS42" s="54"/>
      <c r="DT42" s="2"/>
      <c r="DU42" s="2"/>
      <c r="DV42" s="2"/>
      <c r="DW42" s="2"/>
      <c r="DX42" s="2"/>
      <c r="DY42" s="2"/>
      <c r="DZ42" s="2"/>
    </row>
    <row r="43" spans="1:130" ht="12.75">
      <c r="A43" s="1">
        <v>1913</v>
      </c>
      <c r="B43" s="34">
        <v>64518386</v>
      </c>
      <c r="C43" s="34">
        <v>778613</v>
      </c>
      <c r="D43" s="35">
        <f t="shared" si="0"/>
        <v>65296999</v>
      </c>
      <c r="E43" s="34">
        <v>5946097</v>
      </c>
      <c r="F43" s="34">
        <v>56142837</v>
      </c>
      <c r="G43" s="34">
        <v>8520532</v>
      </c>
      <c r="H43" s="35">
        <f t="shared" si="1"/>
        <v>64663369</v>
      </c>
      <c r="I43" s="34">
        <v>2131931</v>
      </c>
      <c r="J43" s="34">
        <v>211147</v>
      </c>
      <c r="K43" s="35">
        <f t="shared" si="22"/>
        <v>2343078</v>
      </c>
      <c r="L43" s="34">
        <v>140</v>
      </c>
      <c r="M43" s="34">
        <v>0</v>
      </c>
      <c r="N43" s="35">
        <f t="shared" si="30"/>
        <v>140</v>
      </c>
      <c r="O43" s="36">
        <v>246857946</v>
      </c>
      <c r="P43" s="34">
        <v>20943167</v>
      </c>
      <c r="Q43" s="35">
        <f t="shared" si="23"/>
        <v>267801113</v>
      </c>
      <c r="R43" s="34"/>
      <c r="S43" s="34"/>
      <c r="T43" s="34"/>
      <c r="U43" s="48"/>
      <c r="V43" s="48"/>
      <c r="W43" s="48"/>
      <c r="X43" s="34">
        <v>429659981</v>
      </c>
      <c r="Y43" s="34">
        <v>23924456</v>
      </c>
      <c r="Z43" s="35">
        <f t="shared" si="3"/>
        <v>453584437</v>
      </c>
      <c r="AA43" s="34">
        <v>160216318</v>
      </c>
      <c r="AB43" s="40">
        <v>17195567</v>
      </c>
      <c r="AC43" s="35">
        <f t="shared" si="4"/>
        <v>177411885</v>
      </c>
      <c r="AD43" s="34">
        <v>5413237</v>
      </c>
      <c r="AE43" s="34">
        <v>1445649</v>
      </c>
      <c r="AF43" s="35">
        <f t="shared" si="5"/>
        <v>6858886</v>
      </c>
      <c r="AG43" s="34">
        <v>30011757</v>
      </c>
      <c r="AH43" s="34">
        <v>6412890</v>
      </c>
      <c r="AI43" s="35">
        <f t="shared" si="6"/>
        <v>36424647</v>
      </c>
      <c r="AJ43" s="34">
        <v>2835822</v>
      </c>
      <c r="AK43" s="34">
        <v>5834757</v>
      </c>
      <c r="AL43" s="35">
        <f t="shared" si="7"/>
        <v>8670579</v>
      </c>
      <c r="AM43" s="34">
        <v>8538066</v>
      </c>
      <c r="AN43" s="34">
        <v>386970</v>
      </c>
      <c r="AO43" s="35">
        <f t="shared" si="8"/>
        <v>8925036</v>
      </c>
      <c r="AP43" s="34">
        <v>59423968</v>
      </c>
      <c r="AQ43" s="34">
        <v>14337442</v>
      </c>
      <c r="AR43" s="35">
        <f t="shared" si="9"/>
        <v>73761410</v>
      </c>
      <c r="AS43" s="36">
        <v>436196</v>
      </c>
      <c r="AT43" s="36">
        <v>31054093</v>
      </c>
      <c r="AU43" s="35">
        <f t="shared" si="10"/>
        <v>31490289</v>
      </c>
      <c r="AV43" s="36">
        <v>6389949</v>
      </c>
      <c r="AW43" s="36">
        <v>305843</v>
      </c>
      <c r="AX43" s="35">
        <f t="shared" si="11"/>
        <v>6695792</v>
      </c>
      <c r="AY43" s="34">
        <v>40674</v>
      </c>
      <c r="AZ43" s="34">
        <v>0</v>
      </c>
      <c r="BA43" s="35">
        <f t="shared" si="31"/>
        <v>40674</v>
      </c>
      <c r="BB43" s="34">
        <v>195531</v>
      </c>
      <c r="BC43" s="34">
        <v>57507014</v>
      </c>
      <c r="BD43" s="35">
        <f t="shared" si="12"/>
        <v>57702545</v>
      </c>
      <c r="BE43" s="34">
        <v>175723</v>
      </c>
      <c r="BF43" s="34">
        <v>0</v>
      </c>
      <c r="BG43" s="35">
        <f t="shared" si="13"/>
        <v>175723</v>
      </c>
      <c r="BH43" s="34">
        <v>21360527</v>
      </c>
      <c r="BI43" s="34">
        <v>331144</v>
      </c>
      <c r="BJ43" s="35">
        <f t="shared" si="14"/>
        <v>21691671</v>
      </c>
      <c r="BK43" s="34">
        <v>491290</v>
      </c>
      <c r="BL43" s="34">
        <v>1355</v>
      </c>
      <c r="BM43" s="35">
        <f t="shared" si="32"/>
        <v>492645</v>
      </c>
      <c r="BN43" s="34">
        <v>10263745</v>
      </c>
      <c r="BO43" s="34">
        <v>3891199</v>
      </c>
      <c r="BP43" s="35">
        <f t="shared" si="15"/>
        <v>14154944</v>
      </c>
      <c r="BQ43" s="2"/>
      <c r="BR43" s="34">
        <v>20312544</v>
      </c>
      <c r="BS43" s="34">
        <v>15470506</v>
      </c>
      <c r="BT43" s="35">
        <f t="shared" si="16"/>
        <v>35783050</v>
      </c>
      <c r="BU43" s="34">
        <v>85954956</v>
      </c>
      <c r="BV43" s="34">
        <v>14923923</v>
      </c>
      <c r="BW43" s="35">
        <f t="shared" si="17"/>
        <v>100878879</v>
      </c>
      <c r="BX43" s="34">
        <v>83436</v>
      </c>
      <c r="BY43" s="34">
        <v>10396010</v>
      </c>
      <c r="BZ43" s="34">
        <v>1026247</v>
      </c>
      <c r="CA43" s="35">
        <f t="shared" si="18"/>
        <v>11422257</v>
      </c>
      <c r="CB43" s="34">
        <v>3943</v>
      </c>
      <c r="CC43" s="34">
        <v>1404794</v>
      </c>
      <c r="CD43" s="35">
        <f t="shared" si="35"/>
        <v>1408737</v>
      </c>
      <c r="CE43" s="34">
        <v>10895668</v>
      </c>
      <c r="CF43" s="34">
        <v>246849</v>
      </c>
      <c r="CG43" s="35">
        <f t="shared" si="24"/>
        <v>11142517</v>
      </c>
      <c r="CH43" s="51">
        <f>CE43-CK43-CN43-118714-DF43-360587</f>
        <v>3656991</v>
      </c>
      <c r="CI43" s="51">
        <f>CF43-CU43-625-2</f>
        <v>0</v>
      </c>
      <c r="CJ43" s="51">
        <f t="shared" si="37"/>
        <v>3656991</v>
      </c>
      <c r="CK43" s="41">
        <v>5943928</v>
      </c>
      <c r="CL43" s="67">
        <v>0</v>
      </c>
      <c r="CM43" s="62">
        <f t="shared" si="33"/>
        <v>5943928</v>
      </c>
      <c r="CN43" s="41">
        <v>815202</v>
      </c>
      <c r="CO43" s="67">
        <v>0</v>
      </c>
      <c r="CP43" s="62">
        <f t="shared" si="34"/>
        <v>815202</v>
      </c>
      <c r="CQ43" s="41"/>
      <c r="CR43" s="41"/>
      <c r="CS43" s="41"/>
      <c r="CT43" s="41"/>
      <c r="CU43" s="41">
        <v>246222</v>
      </c>
      <c r="CV43" s="41"/>
      <c r="CW43" s="41"/>
      <c r="CX43" s="41"/>
      <c r="CY43" s="41"/>
      <c r="CZ43" s="41"/>
      <c r="DA43" s="41"/>
      <c r="DB43" s="41"/>
      <c r="DC43" s="41"/>
      <c r="DD43" s="41"/>
      <c r="DE43" s="41">
        <f>360587+2</f>
        <v>360589</v>
      </c>
      <c r="DF43" s="41">
        <v>246</v>
      </c>
      <c r="DG43" s="41"/>
      <c r="DH43" s="41"/>
      <c r="DI43" s="41"/>
      <c r="DJ43" s="41">
        <f>118714+625</f>
        <v>119339</v>
      </c>
      <c r="DK43" s="106">
        <v>2688860</v>
      </c>
      <c r="DL43" s="34">
        <v>55283886</v>
      </c>
      <c r="DM43" s="19">
        <f t="shared" si="38"/>
        <v>1232750581</v>
      </c>
      <c r="DN43" s="19">
        <f t="shared" si="39"/>
        <v>232100254</v>
      </c>
      <c r="DO43" s="89">
        <f t="shared" si="20"/>
        <v>1520134721</v>
      </c>
      <c r="DP43" s="55"/>
      <c r="DQ43" s="55"/>
      <c r="DR43" s="54"/>
      <c r="DS43" s="54"/>
      <c r="DT43" s="2"/>
      <c r="DU43" s="2"/>
      <c r="DV43" s="2"/>
      <c r="DW43" s="2"/>
      <c r="DX43" s="2"/>
      <c r="DY43" s="2"/>
      <c r="DZ43" s="2"/>
    </row>
    <row r="44" spans="1:130" ht="12.75">
      <c r="A44" s="1">
        <v>1914</v>
      </c>
      <c r="B44" s="34">
        <v>37563044</v>
      </c>
      <c r="C44" s="34">
        <v>1345183</v>
      </c>
      <c r="D44" s="35">
        <f t="shared" si="0"/>
        <v>38908227</v>
      </c>
      <c r="E44" s="34">
        <v>4874152</v>
      </c>
      <c r="F44" s="34">
        <v>40678101</v>
      </c>
      <c r="G44" s="34">
        <v>8510747</v>
      </c>
      <c r="H44" s="35">
        <f t="shared" si="1"/>
        <v>49188848</v>
      </c>
      <c r="I44" s="34">
        <v>1461744</v>
      </c>
      <c r="J44" s="34">
        <v>94983</v>
      </c>
      <c r="K44" s="35">
        <f t="shared" si="22"/>
        <v>1556727</v>
      </c>
      <c r="L44" s="34">
        <v>3519</v>
      </c>
      <c r="M44" s="34">
        <v>0</v>
      </c>
      <c r="N44" s="35">
        <f t="shared" si="30"/>
        <v>3519</v>
      </c>
      <c r="O44" s="36">
        <v>174485719</v>
      </c>
      <c r="P44" s="34">
        <v>15120623</v>
      </c>
      <c r="Q44" s="35">
        <f t="shared" si="23"/>
        <v>189606342</v>
      </c>
      <c r="R44" s="34"/>
      <c r="S44" s="34"/>
      <c r="T44" s="34"/>
      <c r="U44" s="48"/>
      <c r="V44" s="48"/>
      <c r="W44" s="48"/>
      <c r="X44" s="34">
        <v>226388048</v>
      </c>
      <c r="Y44" s="34">
        <v>22768872</v>
      </c>
      <c r="Z44" s="35">
        <f t="shared" si="3"/>
        <v>249156920</v>
      </c>
      <c r="AA44" s="34">
        <v>77964798</v>
      </c>
      <c r="AB44" s="40">
        <v>16731233</v>
      </c>
      <c r="AC44" s="35">
        <f t="shared" si="4"/>
        <v>94696031</v>
      </c>
      <c r="AD44" s="34">
        <v>4922886</v>
      </c>
      <c r="AE44" s="34">
        <v>3646136</v>
      </c>
      <c r="AF44" s="35">
        <f t="shared" si="5"/>
        <v>8569022</v>
      </c>
      <c r="AG44" s="34">
        <v>15605080</v>
      </c>
      <c r="AH44" s="34">
        <v>2270971</v>
      </c>
      <c r="AI44" s="35">
        <f t="shared" si="6"/>
        <v>17876051</v>
      </c>
      <c r="AJ44" s="34">
        <v>1025694</v>
      </c>
      <c r="AK44" s="34">
        <v>3131316</v>
      </c>
      <c r="AL44" s="35">
        <f t="shared" si="7"/>
        <v>4157010</v>
      </c>
      <c r="AM44" s="34">
        <v>5884937</v>
      </c>
      <c r="AN44" s="34">
        <v>896369</v>
      </c>
      <c r="AO44" s="35">
        <f t="shared" si="8"/>
        <v>6781306</v>
      </c>
      <c r="AP44" s="34">
        <v>30450494</v>
      </c>
      <c r="AQ44" s="34">
        <v>10124963</v>
      </c>
      <c r="AR44" s="35">
        <f t="shared" si="9"/>
        <v>40575457</v>
      </c>
      <c r="AS44" s="34">
        <v>219948</v>
      </c>
      <c r="AT44" s="34">
        <v>28545414</v>
      </c>
      <c r="AU44" s="35">
        <f t="shared" si="10"/>
        <v>28765362</v>
      </c>
      <c r="AV44" s="34">
        <v>5046167</v>
      </c>
      <c r="AW44" s="34">
        <v>0</v>
      </c>
      <c r="AX44" s="35">
        <f t="shared" si="11"/>
        <v>5046167</v>
      </c>
      <c r="AY44" s="34">
        <v>55954</v>
      </c>
      <c r="AZ44" s="34">
        <v>573</v>
      </c>
      <c r="BA44" s="35">
        <f t="shared" si="31"/>
        <v>56527</v>
      </c>
      <c r="BB44" s="34">
        <v>69636</v>
      </c>
      <c r="BC44" s="34">
        <v>52795554</v>
      </c>
      <c r="BD44" s="35">
        <f t="shared" si="12"/>
        <v>52865190</v>
      </c>
      <c r="BE44" s="34">
        <v>382293</v>
      </c>
      <c r="BF44" s="34">
        <v>0</v>
      </c>
      <c r="BG44" s="35">
        <f t="shared" si="13"/>
        <v>382293</v>
      </c>
      <c r="BH44" s="34">
        <v>12607301</v>
      </c>
      <c r="BI44" s="34">
        <v>128396</v>
      </c>
      <c r="BJ44" s="35">
        <f t="shared" si="14"/>
        <v>12735697</v>
      </c>
      <c r="BK44" s="34">
        <v>297803</v>
      </c>
      <c r="BL44" s="34">
        <v>4788</v>
      </c>
      <c r="BM44" s="35">
        <f t="shared" si="32"/>
        <v>302591</v>
      </c>
      <c r="BN44" s="34">
        <v>7447828</v>
      </c>
      <c r="BO44" s="34">
        <v>1325821</v>
      </c>
      <c r="BP44" s="35">
        <f t="shared" si="15"/>
        <v>8773649</v>
      </c>
      <c r="BQ44" s="2"/>
      <c r="BR44" s="34">
        <v>7685142</v>
      </c>
      <c r="BS44" s="34">
        <v>7780745</v>
      </c>
      <c r="BT44" s="35">
        <f t="shared" si="16"/>
        <v>15465887</v>
      </c>
      <c r="BU44" s="34">
        <v>43870237</v>
      </c>
      <c r="BV44" s="34">
        <v>11765722</v>
      </c>
      <c r="BW44" s="35">
        <f t="shared" si="17"/>
        <v>55635959</v>
      </c>
      <c r="BX44" s="34">
        <f>178462+820</f>
        <v>179282</v>
      </c>
      <c r="BY44" s="34">
        <v>5811036</v>
      </c>
      <c r="BZ44" s="34">
        <v>542778</v>
      </c>
      <c r="CA44" s="35">
        <f t="shared" si="18"/>
        <v>6353814</v>
      </c>
      <c r="CB44" s="34">
        <v>1005</v>
      </c>
      <c r="CC44" s="34">
        <v>1281352</v>
      </c>
      <c r="CD44" s="35">
        <f t="shared" si="35"/>
        <v>1282357</v>
      </c>
      <c r="CE44" s="34">
        <v>5977725</v>
      </c>
      <c r="CF44" s="34">
        <v>588194</v>
      </c>
      <c r="CG44" s="35">
        <f t="shared" si="24"/>
        <v>6565919</v>
      </c>
      <c r="CH44" s="51">
        <f>CE44-CK44-CN44-2894-DE44</f>
        <v>2253288</v>
      </c>
      <c r="CI44" s="51">
        <f>CF44-CL44-5050-CU44</f>
        <v>2000</v>
      </c>
      <c r="CJ44" s="51">
        <f t="shared" si="37"/>
        <v>2255288</v>
      </c>
      <c r="CK44" s="41">
        <v>2395993</v>
      </c>
      <c r="CL44" s="41">
        <v>512200</v>
      </c>
      <c r="CM44" s="62">
        <f t="shared" si="33"/>
        <v>2908193</v>
      </c>
      <c r="CN44" s="41">
        <v>331072</v>
      </c>
      <c r="CO44" s="67">
        <v>0</v>
      </c>
      <c r="CP44" s="62">
        <f t="shared" si="34"/>
        <v>331072</v>
      </c>
      <c r="CQ44" s="41"/>
      <c r="CR44" s="41"/>
      <c r="CS44" s="41"/>
      <c r="CT44" s="41"/>
      <c r="CU44" s="41">
        <v>68944</v>
      </c>
      <c r="CV44" s="41"/>
      <c r="CW44" s="41"/>
      <c r="CX44" s="41"/>
      <c r="CY44" s="41"/>
      <c r="CZ44" s="41"/>
      <c r="DA44" s="41"/>
      <c r="DB44" s="41"/>
      <c r="DC44" s="41"/>
      <c r="DD44" s="41"/>
      <c r="DE44" s="41">
        <v>994478</v>
      </c>
      <c r="DF44" s="41"/>
      <c r="DG44" s="41"/>
      <c r="DH44" s="41"/>
      <c r="DI44" s="41"/>
      <c r="DJ44" s="41">
        <f>2894+5050</f>
        <v>7944</v>
      </c>
      <c r="DK44" s="106">
        <v>4483957</v>
      </c>
      <c r="DL44" s="34">
        <v>55729538</v>
      </c>
      <c r="DM44" s="19">
        <f t="shared" si="38"/>
        <v>706085421</v>
      </c>
      <c r="DN44" s="19">
        <f t="shared" si="39"/>
        <v>194274885</v>
      </c>
      <c r="DO44" s="89">
        <f t="shared" si="20"/>
        <v>956089844</v>
      </c>
      <c r="DP44" s="55"/>
      <c r="DQ44" s="55"/>
      <c r="DR44" s="55"/>
      <c r="DS44" s="18"/>
      <c r="DT44" s="2"/>
      <c r="DU44" s="2"/>
      <c r="DV44" s="2"/>
      <c r="DW44" s="2"/>
      <c r="DX44" s="2"/>
      <c r="DY44" s="2"/>
      <c r="DZ44" s="2"/>
    </row>
    <row r="45" spans="1:130" s="25" customFormat="1" ht="12.75">
      <c r="A45" s="30">
        <v>1915</v>
      </c>
      <c r="B45" s="34">
        <v>0</v>
      </c>
      <c r="C45" s="34">
        <v>0</v>
      </c>
      <c r="D45" s="35">
        <f t="shared" si="0"/>
        <v>0</v>
      </c>
      <c r="E45" s="34">
        <v>5227315</v>
      </c>
      <c r="F45" s="34">
        <v>0</v>
      </c>
      <c r="G45" s="34">
        <v>0</v>
      </c>
      <c r="H45" s="35">
        <f t="shared" si="1"/>
        <v>0</v>
      </c>
      <c r="I45" s="34">
        <v>365669</v>
      </c>
      <c r="J45" s="34">
        <v>0</v>
      </c>
      <c r="K45" s="35">
        <f t="shared" si="22"/>
        <v>365669</v>
      </c>
      <c r="L45" s="34">
        <v>0</v>
      </c>
      <c r="M45" s="34">
        <v>0</v>
      </c>
      <c r="N45" s="35">
        <f t="shared" si="30"/>
        <v>0</v>
      </c>
      <c r="O45" s="36">
        <v>150500999</v>
      </c>
      <c r="P45" s="34">
        <v>5036228</v>
      </c>
      <c r="Q45" s="35">
        <f t="shared" si="23"/>
        <v>155537227</v>
      </c>
      <c r="R45" s="34"/>
      <c r="S45" s="34"/>
      <c r="T45" s="34"/>
      <c r="U45" s="48"/>
      <c r="V45" s="48"/>
      <c r="W45" s="48"/>
      <c r="X45" s="34">
        <v>0</v>
      </c>
      <c r="Y45" s="34">
        <v>0</v>
      </c>
      <c r="Z45" s="35">
        <f t="shared" si="3"/>
        <v>0</v>
      </c>
      <c r="AA45" s="34">
        <v>1700</v>
      </c>
      <c r="AB45" s="40">
        <v>0</v>
      </c>
      <c r="AC45" s="35">
        <f t="shared" si="4"/>
        <v>1700</v>
      </c>
      <c r="AD45" s="34">
        <v>48300</v>
      </c>
      <c r="AE45" s="34">
        <v>0</v>
      </c>
      <c r="AF45" s="35">
        <f t="shared" si="5"/>
        <v>48300</v>
      </c>
      <c r="AG45" s="34">
        <v>412259</v>
      </c>
      <c r="AH45" s="34">
        <v>0</v>
      </c>
      <c r="AI45" s="35">
        <f t="shared" si="6"/>
        <v>412259</v>
      </c>
      <c r="AJ45" s="34">
        <v>0</v>
      </c>
      <c r="AK45" s="34">
        <v>0</v>
      </c>
      <c r="AL45" s="35">
        <f t="shared" si="7"/>
        <v>0</v>
      </c>
      <c r="AM45" s="34">
        <v>0</v>
      </c>
      <c r="AN45" s="34">
        <v>0</v>
      </c>
      <c r="AO45" s="35">
        <f t="shared" si="8"/>
        <v>0</v>
      </c>
      <c r="AP45" s="34">
        <v>183417</v>
      </c>
      <c r="AQ45" s="34">
        <v>0</v>
      </c>
      <c r="AR45" s="35">
        <f t="shared" si="9"/>
        <v>183417</v>
      </c>
      <c r="AS45" s="34">
        <v>0</v>
      </c>
      <c r="AT45" s="34">
        <v>20829330</v>
      </c>
      <c r="AU45" s="35">
        <f t="shared" si="10"/>
        <v>20829330</v>
      </c>
      <c r="AV45" s="34">
        <v>439883</v>
      </c>
      <c r="AW45" s="34">
        <v>0</v>
      </c>
      <c r="AX45" s="35">
        <f t="shared" si="11"/>
        <v>439883</v>
      </c>
      <c r="AY45" s="34">
        <v>0</v>
      </c>
      <c r="AZ45" s="34">
        <v>13211</v>
      </c>
      <c r="BA45" s="35">
        <f t="shared" si="31"/>
        <v>13211</v>
      </c>
      <c r="BB45" s="34">
        <v>0</v>
      </c>
      <c r="BC45" s="34">
        <v>51202825</v>
      </c>
      <c r="BD45" s="35">
        <f t="shared" si="12"/>
        <v>51202825</v>
      </c>
      <c r="BE45" s="34">
        <v>0</v>
      </c>
      <c r="BF45" s="34">
        <v>0</v>
      </c>
      <c r="BG45" s="35">
        <f t="shared" si="13"/>
        <v>0</v>
      </c>
      <c r="BH45" s="34">
        <v>3319817</v>
      </c>
      <c r="BI45" s="34">
        <v>0</v>
      </c>
      <c r="BJ45" s="35">
        <f t="shared" si="14"/>
        <v>3319817</v>
      </c>
      <c r="BK45" s="34">
        <v>1050604</v>
      </c>
      <c r="BL45" s="34">
        <v>0</v>
      </c>
      <c r="BM45" s="35">
        <f t="shared" si="32"/>
        <v>1050604</v>
      </c>
      <c r="BN45" s="34">
        <v>3273845</v>
      </c>
      <c r="BO45" s="34">
        <v>523792</v>
      </c>
      <c r="BP45" s="35">
        <f t="shared" si="15"/>
        <v>3797637</v>
      </c>
      <c r="BQ45" s="2"/>
      <c r="BR45" s="34">
        <v>0</v>
      </c>
      <c r="BS45" s="34">
        <v>0</v>
      </c>
      <c r="BT45" s="35">
        <f t="shared" si="16"/>
        <v>0</v>
      </c>
      <c r="BU45" s="34">
        <v>16579773</v>
      </c>
      <c r="BV45" s="34">
        <v>850000</v>
      </c>
      <c r="BW45" s="35">
        <f t="shared" si="17"/>
        <v>17429773</v>
      </c>
      <c r="BX45" s="34">
        <v>0</v>
      </c>
      <c r="BY45" s="34">
        <v>4578955</v>
      </c>
      <c r="BZ45" s="34">
        <v>0</v>
      </c>
      <c r="CA45" s="35">
        <f t="shared" si="18"/>
        <v>4578955</v>
      </c>
      <c r="CB45" s="34">
        <v>0</v>
      </c>
      <c r="CC45" s="34">
        <v>4073544</v>
      </c>
      <c r="CD45" s="35">
        <f t="shared" si="35"/>
        <v>4073544</v>
      </c>
      <c r="CE45" s="34">
        <v>545844</v>
      </c>
      <c r="CF45" s="34">
        <v>62448</v>
      </c>
      <c r="CG45" s="35">
        <f t="shared" si="24"/>
        <v>608292</v>
      </c>
      <c r="CH45" s="51">
        <f>CE45-DJ45</f>
        <v>515324</v>
      </c>
      <c r="CI45" s="51">
        <f>CF45-CU45</f>
        <v>0</v>
      </c>
      <c r="CJ45" s="51">
        <f t="shared" si="37"/>
        <v>515324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>
        <v>62448</v>
      </c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>
        <v>30520</v>
      </c>
      <c r="DK45" s="106">
        <v>2429268</v>
      </c>
      <c r="DL45" s="34">
        <v>132714382</v>
      </c>
      <c r="DM45" s="19">
        <f t="shared" si="38"/>
        <v>181301065</v>
      </c>
      <c r="DN45" s="19">
        <f t="shared" si="39"/>
        <v>87818693</v>
      </c>
      <c r="DO45" s="89">
        <f t="shared" si="20"/>
        <v>401834140</v>
      </c>
      <c r="DP45" s="55"/>
      <c r="DQ45" s="55"/>
      <c r="DR45" s="55"/>
      <c r="DS45" s="18"/>
      <c r="DT45" s="21" t="s">
        <v>85</v>
      </c>
      <c r="DU45" s="21"/>
      <c r="DV45" s="21"/>
      <c r="DW45" s="21"/>
      <c r="DX45" s="21"/>
      <c r="DY45" s="21"/>
      <c r="DZ45" s="21"/>
    </row>
    <row r="46" spans="1:130" s="69" customFormat="1" ht="12.75">
      <c r="A46" s="103">
        <v>1916</v>
      </c>
      <c r="B46" s="34">
        <v>0</v>
      </c>
      <c r="C46" s="43"/>
      <c r="D46" s="35">
        <f t="shared" si="0"/>
        <v>0</v>
      </c>
      <c r="E46" s="43"/>
      <c r="F46" s="104">
        <v>0</v>
      </c>
      <c r="G46" s="43"/>
      <c r="H46" s="35">
        <f t="shared" si="1"/>
        <v>0</v>
      </c>
      <c r="I46" s="43"/>
      <c r="J46" s="43"/>
      <c r="K46" s="35">
        <f t="shared" si="22"/>
        <v>0</v>
      </c>
      <c r="L46" s="43"/>
      <c r="M46" s="43"/>
      <c r="N46" s="35">
        <f t="shared" si="30"/>
        <v>0</v>
      </c>
      <c r="O46" s="34">
        <v>179262000</v>
      </c>
      <c r="P46" s="43"/>
      <c r="Q46" s="35">
        <f t="shared" si="23"/>
        <v>179262000</v>
      </c>
      <c r="R46" s="34"/>
      <c r="S46" s="34"/>
      <c r="T46" s="34"/>
      <c r="U46" s="68"/>
      <c r="V46" s="68"/>
      <c r="W46" s="68"/>
      <c r="X46" s="34">
        <v>0</v>
      </c>
      <c r="Y46" s="43"/>
      <c r="Z46" s="35">
        <f t="shared" si="3"/>
        <v>0</v>
      </c>
      <c r="AA46" s="34">
        <v>1040000</v>
      </c>
      <c r="AB46" s="43"/>
      <c r="AC46" s="35">
        <f t="shared" si="4"/>
        <v>1040000</v>
      </c>
      <c r="AD46" s="34">
        <v>422000</v>
      </c>
      <c r="AE46" s="43"/>
      <c r="AF46" s="35">
        <f t="shared" si="5"/>
        <v>422000</v>
      </c>
      <c r="AG46" s="34">
        <v>1768000</v>
      </c>
      <c r="AH46" s="43"/>
      <c r="AI46" s="35">
        <f t="shared" si="6"/>
        <v>1768000</v>
      </c>
      <c r="AJ46" s="104">
        <v>0</v>
      </c>
      <c r="AK46" s="43"/>
      <c r="AL46" s="35">
        <f t="shared" si="7"/>
        <v>0</v>
      </c>
      <c r="AM46" s="104">
        <v>0</v>
      </c>
      <c r="AN46" s="43"/>
      <c r="AO46" s="35">
        <f t="shared" si="8"/>
        <v>0</v>
      </c>
      <c r="AP46" s="34">
        <v>801000</v>
      </c>
      <c r="AQ46" s="43"/>
      <c r="AR46" s="35">
        <f t="shared" si="9"/>
        <v>801000</v>
      </c>
      <c r="AS46" s="104">
        <v>0</v>
      </c>
      <c r="AT46" s="43"/>
      <c r="AU46" s="35">
        <f t="shared" si="10"/>
        <v>0</v>
      </c>
      <c r="AV46" s="34">
        <v>2321000</v>
      </c>
      <c r="AW46" s="43"/>
      <c r="AX46" s="35">
        <f t="shared" si="11"/>
        <v>2321000</v>
      </c>
      <c r="AY46" s="34">
        <v>0</v>
      </c>
      <c r="AZ46" s="43"/>
      <c r="BA46" s="35">
        <f t="shared" si="31"/>
        <v>0</v>
      </c>
      <c r="BB46" s="104">
        <v>0</v>
      </c>
      <c r="BC46" s="43"/>
      <c r="BD46" s="35">
        <f t="shared" si="12"/>
        <v>0</v>
      </c>
      <c r="BE46" s="104">
        <v>0</v>
      </c>
      <c r="BF46" s="43"/>
      <c r="BG46" s="35">
        <f t="shared" si="13"/>
        <v>0</v>
      </c>
      <c r="BH46" s="34">
        <v>4587000</v>
      </c>
      <c r="BI46" s="43"/>
      <c r="BJ46" s="35">
        <f t="shared" si="14"/>
        <v>4587000</v>
      </c>
      <c r="BK46" s="34">
        <v>0</v>
      </c>
      <c r="BL46" s="43"/>
      <c r="BM46" s="35">
        <f t="shared" si="32"/>
        <v>0</v>
      </c>
      <c r="BN46" s="34">
        <v>13969000</v>
      </c>
      <c r="BO46" s="43"/>
      <c r="BP46" s="35">
        <f t="shared" si="15"/>
        <v>13969000</v>
      </c>
      <c r="BQ46" s="2"/>
      <c r="BR46" s="34">
        <v>0</v>
      </c>
      <c r="BS46" s="43"/>
      <c r="BT46" s="35">
        <f t="shared" si="16"/>
        <v>0</v>
      </c>
      <c r="BU46" s="34">
        <v>64579000</v>
      </c>
      <c r="BV46" s="43"/>
      <c r="BW46" s="35">
        <f t="shared" si="17"/>
        <v>64579000</v>
      </c>
      <c r="BX46" s="43"/>
      <c r="BY46" s="34">
        <v>6185000</v>
      </c>
      <c r="BZ46" s="43"/>
      <c r="CA46" s="35">
        <f t="shared" si="18"/>
        <v>6185000</v>
      </c>
      <c r="CB46" s="43"/>
      <c r="CC46" s="43"/>
      <c r="CD46" s="35">
        <f t="shared" si="35"/>
        <v>0</v>
      </c>
      <c r="CE46" s="34">
        <v>2379000</v>
      </c>
      <c r="CF46" s="99">
        <f>25660000+2000+48394000</f>
        <v>74056000</v>
      </c>
      <c r="CG46" s="35">
        <f t="shared" si="24"/>
        <v>76435000</v>
      </c>
      <c r="CH46" s="51">
        <f>CE46</f>
        <v>2379000</v>
      </c>
      <c r="CI46" s="105">
        <f>CF46</f>
        <v>74056000</v>
      </c>
      <c r="CJ46" s="105">
        <f t="shared" si="37"/>
        <v>76435000</v>
      </c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34">
        <v>199119000</v>
      </c>
      <c r="DM46" s="19">
        <f t="shared" si="38"/>
        <v>277313000</v>
      </c>
      <c r="DN46" s="102">
        <f t="shared" si="39"/>
        <v>74056000</v>
      </c>
      <c r="DO46" s="101">
        <f t="shared" si="20"/>
        <v>550488000</v>
      </c>
      <c r="DP46" s="55">
        <v>476432000</v>
      </c>
      <c r="DQ46" s="55"/>
      <c r="DR46" s="55"/>
      <c r="DS46" s="18"/>
      <c r="DT46" s="21" t="s">
        <v>127</v>
      </c>
      <c r="DU46" s="21"/>
      <c r="DV46" s="21"/>
      <c r="DW46" s="21"/>
      <c r="DX46" s="21"/>
      <c r="DY46" s="21"/>
      <c r="DZ46" s="21"/>
    </row>
    <row r="47" spans="1:130" ht="12.75">
      <c r="A47" s="103">
        <v>1917</v>
      </c>
      <c r="B47" s="34">
        <v>0</v>
      </c>
      <c r="C47" s="43"/>
      <c r="D47" s="35">
        <f>B47+C47</f>
        <v>0</v>
      </c>
      <c r="E47" s="43"/>
      <c r="F47" s="34">
        <v>0</v>
      </c>
      <c r="G47" s="43"/>
      <c r="H47" s="35">
        <f t="shared" si="1"/>
        <v>0</v>
      </c>
      <c r="I47" s="43"/>
      <c r="J47" s="43"/>
      <c r="K47" s="35">
        <f t="shared" si="22"/>
        <v>0</v>
      </c>
      <c r="L47" s="43"/>
      <c r="M47" s="43"/>
      <c r="N47" s="35">
        <f t="shared" si="30"/>
        <v>0</v>
      </c>
      <c r="O47" s="2">
        <v>236673000</v>
      </c>
      <c r="P47" s="43"/>
      <c r="Q47" s="35">
        <f t="shared" si="23"/>
        <v>236673000</v>
      </c>
      <c r="R47" s="2"/>
      <c r="S47" s="2"/>
      <c r="T47" s="2"/>
      <c r="U47" s="2"/>
      <c r="V47" s="2"/>
      <c r="W47" s="2"/>
      <c r="X47" s="34">
        <v>0</v>
      </c>
      <c r="Y47" s="43"/>
      <c r="Z47" s="35">
        <f>X47+Y47</f>
        <v>0</v>
      </c>
      <c r="AA47" s="2">
        <v>208000</v>
      </c>
      <c r="AB47" s="43"/>
      <c r="AC47" s="35">
        <f t="shared" si="4"/>
        <v>208000</v>
      </c>
      <c r="AD47" s="2">
        <v>0</v>
      </c>
      <c r="AE47" s="43"/>
      <c r="AF47" s="35">
        <f t="shared" si="5"/>
        <v>0</v>
      </c>
      <c r="AG47" s="2">
        <v>4147000</v>
      </c>
      <c r="AH47" s="43"/>
      <c r="AI47" s="35">
        <f t="shared" si="6"/>
        <v>4147000</v>
      </c>
      <c r="AJ47" s="34">
        <v>0</v>
      </c>
      <c r="AK47" s="43"/>
      <c r="AL47" s="35">
        <f t="shared" si="7"/>
        <v>0</v>
      </c>
      <c r="AM47" s="34">
        <v>0</v>
      </c>
      <c r="AN47" s="43"/>
      <c r="AO47" s="35">
        <f t="shared" si="8"/>
        <v>0</v>
      </c>
      <c r="AP47" s="2">
        <v>118000</v>
      </c>
      <c r="AQ47" s="43"/>
      <c r="AR47" s="35">
        <f t="shared" si="9"/>
        <v>118000</v>
      </c>
      <c r="AS47" s="2">
        <v>0</v>
      </c>
      <c r="AT47" s="43"/>
      <c r="AU47" s="35">
        <f t="shared" si="10"/>
        <v>0</v>
      </c>
      <c r="AV47" s="2">
        <v>2853000</v>
      </c>
      <c r="AW47" s="43"/>
      <c r="AX47" s="35">
        <f t="shared" si="11"/>
        <v>2853000</v>
      </c>
      <c r="AY47" s="2">
        <v>0</v>
      </c>
      <c r="AZ47" s="43"/>
      <c r="BA47" s="35">
        <f t="shared" si="31"/>
        <v>0</v>
      </c>
      <c r="BB47" s="34">
        <v>0</v>
      </c>
      <c r="BC47" s="43"/>
      <c r="BD47" s="35">
        <f t="shared" si="12"/>
        <v>0</v>
      </c>
      <c r="BE47" s="34">
        <v>0</v>
      </c>
      <c r="BF47" s="43"/>
      <c r="BG47" s="35">
        <f t="shared" si="13"/>
        <v>0</v>
      </c>
      <c r="BH47" s="2">
        <v>288000</v>
      </c>
      <c r="BI47" s="43"/>
      <c r="BJ47" s="35">
        <f t="shared" si="14"/>
        <v>288000</v>
      </c>
      <c r="BK47" s="2">
        <v>0</v>
      </c>
      <c r="BL47" s="43"/>
      <c r="BM47" s="35">
        <f t="shared" si="32"/>
        <v>0</v>
      </c>
      <c r="BN47" s="2">
        <v>26480000</v>
      </c>
      <c r="BO47" s="43"/>
      <c r="BP47" s="35">
        <f t="shared" si="15"/>
        <v>26480000</v>
      </c>
      <c r="BQ47" s="2"/>
      <c r="BR47" s="34">
        <v>0</v>
      </c>
      <c r="BS47" s="43"/>
      <c r="BT47" s="35">
        <f>BR47+BS47</f>
        <v>0</v>
      </c>
      <c r="BU47" s="2">
        <v>49056000</v>
      </c>
      <c r="BV47" s="43"/>
      <c r="BW47" s="35">
        <f t="shared" si="17"/>
        <v>49056000</v>
      </c>
      <c r="BX47" s="43"/>
      <c r="BY47" s="2">
        <v>14788000</v>
      </c>
      <c r="BZ47" s="43"/>
      <c r="CA47" s="35">
        <f t="shared" si="18"/>
        <v>14788000</v>
      </c>
      <c r="CB47" s="43"/>
      <c r="CC47" s="43"/>
      <c r="CD47" s="35">
        <f t="shared" si="35"/>
        <v>0</v>
      </c>
      <c r="CE47" s="2">
        <v>282000</v>
      </c>
      <c r="CF47" s="100">
        <f>22676000+12099000</f>
        <v>34775000</v>
      </c>
      <c r="CG47" s="35">
        <f t="shared" si="24"/>
        <v>35057000</v>
      </c>
      <c r="CH47" s="51">
        <f>CE47</f>
        <v>282000</v>
      </c>
      <c r="CI47" s="105">
        <f>CF47</f>
        <v>34775000</v>
      </c>
      <c r="CJ47" s="105">
        <f>CH47+CI47</f>
        <v>35057000</v>
      </c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0"/>
      <c r="DL47" s="34">
        <v>129070000</v>
      </c>
      <c r="DM47" s="19">
        <f t="shared" si="38"/>
        <v>334893000</v>
      </c>
      <c r="DN47" s="102">
        <f t="shared" si="39"/>
        <v>34775000</v>
      </c>
      <c r="DO47" s="101">
        <f t="shared" si="20"/>
        <v>498738000</v>
      </c>
      <c r="DP47" s="56">
        <v>463963000</v>
      </c>
      <c r="DQ47" s="56"/>
      <c r="DR47" s="56"/>
      <c r="DS47" s="27"/>
      <c r="DT47" s="98"/>
      <c r="DU47" s="21" t="s">
        <v>129</v>
      </c>
      <c r="DV47" s="2"/>
      <c r="DW47" s="2"/>
      <c r="DX47" s="2"/>
      <c r="DY47" s="2"/>
      <c r="DZ47" s="2"/>
    </row>
    <row r="48" spans="1:130" ht="13.5">
      <c r="A48" s="9"/>
      <c r="B48" s="6"/>
      <c r="C48" s="6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14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57"/>
      <c r="DQ48" s="57"/>
      <c r="DR48" s="57"/>
      <c r="DS48" s="2"/>
      <c r="DT48" s="2"/>
      <c r="DU48" s="2"/>
      <c r="DV48" s="2"/>
      <c r="DW48" s="2"/>
      <c r="DX48" s="2"/>
      <c r="DY48" s="2"/>
      <c r="DZ48" s="2"/>
    </row>
    <row r="49" spans="2:130" ht="12.75">
      <c r="B49" s="8"/>
      <c r="C49" s="8"/>
      <c r="D49" s="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3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14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57"/>
      <c r="DQ49" s="57"/>
      <c r="DR49" s="57"/>
      <c r="DS49" s="2"/>
      <c r="DT49" s="2"/>
      <c r="DU49" s="2"/>
      <c r="DV49" s="2"/>
      <c r="DW49" s="2"/>
      <c r="DX49" s="2"/>
      <c r="DY49" s="2"/>
      <c r="DZ49" s="2"/>
    </row>
    <row r="50" spans="2:130" ht="12.75">
      <c r="B50" s="8"/>
      <c r="C50" s="8"/>
      <c r="D50" s="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14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57"/>
      <c r="DQ50" s="57"/>
      <c r="DR50" s="57"/>
      <c r="DS50" s="2"/>
      <c r="DT50" s="2"/>
      <c r="DU50" s="2"/>
      <c r="DV50" s="2"/>
      <c r="DW50" s="2"/>
      <c r="DX50" s="2"/>
      <c r="DY50" s="2"/>
      <c r="DZ50" s="2"/>
    </row>
    <row r="51" spans="2:130" ht="13.5">
      <c r="B51" s="8"/>
      <c r="C51" s="8"/>
      <c r="D51" s="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14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57"/>
      <c r="DQ51" s="57"/>
      <c r="DR51" s="57"/>
      <c r="DS51" s="2"/>
      <c r="DT51" s="2"/>
      <c r="DU51" s="2"/>
      <c r="DV51" s="2"/>
      <c r="DW51" s="2"/>
      <c r="DX51" s="2"/>
      <c r="DY51" s="2"/>
      <c r="DZ51" s="2"/>
    </row>
    <row r="52" spans="2:130" ht="13.5">
      <c r="B52" s="8"/>
      <c r="C52" s="8"/>
      <c r="D52" s="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14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57"/>
      <c r="DQ52" s="57"/>
      <c r="DR52" s="57"/>
      <c r="DS52" s="2"/>
      <c r="DT52" s="2"/>
      <c r="DU52" s="2"/>
      <c r="DV52" s="2"/>
      <c r="DW52" s="2"/>
      <c r="DX52" s="2"/>
      <c r="DY52" s="2"/>
      <c r="DZ52" s="2"/>
    </row>
    <row r="53" spans="2:130" ht="13.5">
      <c r="B53" s="8"/>
      <c r="C53" s="8"/>
      <c r="D53" s="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14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57"/>
      <c r="DQ53" s="57"/>
      <c r="DR53" s="57"/>
      <c r="DS53" s="2"/>
      <c r="DT53" s="2"/>
      <c r="DU53" s="2"/>
      <c r="DV53" s="2"/>
      <c r="DW53" s="2"/>
      <c r="DX53" s="2"/>
      <c r="DY53" s="2"/>
      <c r="DZ53" s="2"/>
    </row>
    <row r="54" spans="2:130" ht="13.5">
      <c r="B54" s="8"/>
      <c r="C54" s="8"/>
      <c r="D54" s="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14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57"/>
      <c r="DQ54" s="57"/>
      <c r="DR54" s="57"/>
      <c r="DS54" s="2"/>
      <c r="DT54" s="2"/>
      <c r="DU54" s="2"/>
      <c r="DV54" s="2"/>
      <c r="DW54" s="2"/>
      <c r="DX54" s="2"/>
      <c r="DY54" s="2"/>
      <c r="DZ54" s="2"/>
    </row>
    <row r="55" spans="5:130" ht="13.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2"/>
      <c r="BO55" s="2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10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58"/>
      <c r="DQ55" s="58"/>
      <c r="DR55" s="58"/>
      <c r="DS55" s="8"/>
      <c r="DT55" s="8"/>
      <c r="DU55" s="8"/>
      <c r="DV55" s="8"/>
      <c r="DW55" s="8"/>
      <c r="DX55" s="8"/>
      <c r="DY55" s="8"/>
      <c r="DZ55" s="8"/>
    </row>
    <row r="56" spans="5:130" ht="13.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2"/>
      <c r="BO56" s="2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10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58"/>
      <c r="DQ56" s="58"/>
      <c r="DR56" s="58"/>
      <c r="DS56" s="8"/>
      <c r="DT56" s="8"/>
      <c r="DU56" s="8"/>
      <c r="DV56" s="8"/>
      <c r="DW56" s="8"/>
      <c r="DX56" s="8"/>
      <c r="DY56" s="8"/>
      <c r="DZ56" s="8"/>
    </row>
    <row r="57" spans="2:130" ht="13.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2"/>
      <c r="BO57" s="2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10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58"/>
      <c r="DQ57" s="58"/>
      <c r="DR57" s="58"/>
      <c r="DS57" s="8"/>
      <c r="DT57" s="8"/>
      <c r="DU57" s="8"/>
      <c r="DV57" s="8"/>
      <c r="DW57" s="8"/>
      <c r="DX57" s="8"/>
      <c r="DY57" s="8"/>
      <c r="DZ57" s="8"/>
    </row>
    <row r="58" spans="2:130" ht="13.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2"/>
      <c r="BO58" s="2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10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58"/>
      <c r="DQ58" s="58"/>
      <c r="DR58" s="58"/>
      <c r="DS58" s="8"/>
      <c r="DT58" s="8"/>
      <c r="DU58" s="8"/>
      <c r="DV58" s="8"/>
      <c r="DW58" s="8"/>
      <c r="DX58" s="8"/>
      <c r="DY58" s="8"/>
      <c r="DZ58" s="8"/>
    </row>
    <row r="59" spans="5:130" ht="13.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2"/>
      <c r="BO59" s="2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8"/>
      <c r="CL59" s="8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58"/>
      <c r="DQ59" s="58"/>
      <c r="DR59" s="58"/>
      <c r="DS59" s="10"/>
      <c r="DT59" s="10"/>
      <c r="DU59" s="10"/>
      <c r="DV59" s="10"/>
      <c r="DW59" s="10"/>
      <c r="DX59" s="10"/>
      <c r="DY59" s="10"/>
      <c r="DZ59" s="10"/>
    </row>
    <row r="60" spans="5:130" ht="13.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8"/>
      <c r="CL60" s="8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58"/>
      <c r="DQ60" s="58"/>
      <c r="DR60" s="58"/>
      <c r="DS60" s="10"/>
      <c r="DT60" s="10"/>
      <c r="DU60" s="10"/>
      <c r="DV60" s="10"/>
      <c r="DW60" s="10"/>
      <c r="DX60" s="10"/>
      <c r="DY60" s="10"/>
      <c r="DZ60" s="10"/>
    </row>
    <row r="61" spans="5:130" ht="13.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1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9"/>
      <c r="DQ61" s="59"/>
      <c r="DR61" s="59"/>
      <c r="DS61" s="5"/>
      <c r="DT61" s="5"/>
      <c r="DU61" s="5"/>
      <c r="DV61" s="5"/>
      <c r="DW61" s="5"/>
      <c r="DX61" s="5"/>
      <c r="DY61" s="5"/>
      <c r="DZ61" s="5"/>
    </row>
  </sheetData>
  <mergeCells count="6">
    <mergeCell ref="A11:A12"/>
    <mergeCell ref="DV11:DX11"/>
    <mergeCell ref="E11:E12"/>
    <mergeCell ref="BQ11:BQ12"/>
    <mergeCell ref="BX11:BX12"/>
    <mergeCell ref="DR12:DS12"/>
  </mergeCells>
  <hyperlinks>
    <hyperlink ref="J5" r:id="rId1" display="http://www.hist.msu.ru/Dynamics/10text.ht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B44K</cp:lastModifiedBy>
  <dcterms:created xsi:type="dcterms:W3CDTF">2011-02-02T12:40:48Z</dcterms:created>
  <dcterms:modified xsi:type="dcterms:W3CDTF">2018-02-10T15:20:45Z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